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547" activeTab="0"/>
  </bookViews>
  <sheets>
    <sheet name="приложение к заключению" sheetId="1" r:id="rId1"/>
  </sheets>
  <definedNames>
    <definedName name="Excel_BuiltIn__FilterDatabase">'приложение к заключению'!$A$11:$FS$95</definedName>
    <definedName name="Excel_BuiltIn_Print_Area">'приложение к заключению'!$A$7:$Q$91</definedName>
    <definedName name="Excel_BuiltIn_Print_Titles_1">'приложение к заключению'!$A$9:$IT$11</definedName>
    <definedName name="QQQ">{#N/A,#N/A,FALSE,"Вып.доходы"}</definedName>
    <definedName name="QQQ_1">{#N/A,#N/A,FALSE,"Вып.доходы"}</definedName>
    <definedName name="s">{#N/A,#N/A,FALSE,"Вып.доходы"}</definedName>
    <definedName name="s_1">{#N/A,#N/A,FALSE,"Вып.доходы"}</definedName>
    <definedName name="wrn.выпдох.">{#N/A,#N/A,FALSE,"Вып.доходы"}</definedName>
    <definedName name="wrn.выпдох._1">{#N/A,#N/A,FALSE,"Вып.доходы"}</definedName>
    <definedName name="ААА">{#N/A,#N/A,FALSE,"Вып.доходы"}</definedName>
    <definedName name="ААА_1">{#N/A,#N/A,FALSE,"Вып.доходы"}</definedName>
    <definedName name="авукн">{#N/A,#N/A,FALSE,"Вып.доходы"}</definedName>
    <definedName name="авукн_1">{#N/A,#N/A,FALSE,"Вып.доходы"}</definedName>
    <definedName name="в">{#N/A,#N/A,FALSE,"Вып.доходы"}</definedName>
    <definedName name="в_1">{#N/A,#N/A,FALSE,"Вып.доходы"}</definedName>
    <definedName name="вапва">{#N/A,#N/A,FALSE,"Вып.доходы"}</definedName>
    <definedName name="вапва_1">{#N/A,#N/A,FALSE,"Вып.доходы"}</definedName>
    <definedName name="вкпеа">{#N/A,#N/A,FALSE,"Вып.доходы"}</definedName>
    <definedName name="вкпеа_1">{#N/A,#N/A,FALSE,"Вып.доходы"}</definedName>
    <definedName name="гае8ш6">{#N/A,#N/A,FALSE,"Вып.доходы"}</definedName>
    <definedName name="гае8ш6_1">{#N/A,#N/A,FALSE,"Вып.доходы"}</definedName>
    <definedName name="глшгл">{#N/A,#N/A,FALSE,"Вып.доходы"}</definedName>
    <definedName name="глшгл_1">{#N/A,#N/A,FALSE,"Вып.доходы"}</definedName>
    <definedName name="гое8г67">{#N/A,#N/A,FALSE,"Вып.доходы"}</definedName>
    <definedName name="гое8г67_1">{#N/A,#N/A,FALSE,"Вып.доходы"}</definedName>
    <definedName name="гпш">{#N/A,#N/A,FALSE,"Вып.доходы"}</definedName>
    <definedName name="гпш_1">{#N/A,#N/A,FALSE,"Вып.доходы"}</definedName>
    <definedName name="д">{#N/A,#N/A,FALSE,"Вып.доходы"}</definedName>
    <definedName name="д_1">{#N/A,#N/A,FALSE,"Вып.доходы"}</definedName>
    <definedName name="е">{#N/A,#N/A,FALSE,"Вып.доходы"}</definedName>
    <definedName name="е_1">{#N/A,#N/A,FALSE,"Вып.доходы"}</definedName>
    <definedName name="еа7о">{#N/A,#N/A,FALSE,"Вып.доходы"}</definedName>
    <definedName name="еа7о_1">{#N/A,#N/A,FALSE,"Вып.доходы"}</definedName>
    <definedName name="енег">{#N/A,#N/A,FALSE,"Вып.доходы"}</definedName>
    <definedName name="енег_1">{#N/A,#N/A,FALSE,"Вып.доходы"}</definedName>
    <definedName name="Еще">{#N/A,#N/A,FALSE,"Вып.доходы"}</definedName>
    <definedName name="Еще_1">{#N/A,#N/A,FALSE,"Вып.доходы"}</definedName>
    <definedName name="_xlnm.Print_Titles" localSheetId="0">'приложение к заключению'!$9:$11</definedName>
    <definedName name="й">{#N/A,#N/A,FALSE,"Вып.доходы"}</definedName>
    <definedName name="й_1">{#N/A,#N/A,FALSE,"Вып.доходы"}</definedName>
    <definedName name="к">{#N/A,#N/A,FALSE,"Вып.доходы"}</definedName>
    <definedName name="к_1">{#N/A,#N/A,FALSE,"Вып.доходы"}</definedName>
    <definedName name="л">{#N/A,#N/A,FALSE,"Вып.доходы"}</definedName>
    <definedName name="л_1">{#N/A,#N/A,FALSE,"Вып.доходы"}</definedName>
    <definedName name="н">{#N/A,#N/A,FALSE,"Вып.доходы"}</definedName>
    <definedName name="н_1">{#N/A,#N/A,FALSE,"Вып.доходы"}</definedName>
    <definedName name="нг">{#N/A,#N/A,FALSE,"Вып.доходы"}</definedName>
    <definedName name="нг_1">{#N/A,#N/A,FALSE,"Вып.доходы"}</definedName>
    <definedName name="негоеано">{#N/A,#N/A,FALSE,"Вып.доходы"}</definedName>
    <definedName name="негоеано_1">{#N/A,#N/A,FALSE,"Вып.доходы"}</definedName>
    <definedName name="_xlnm.Print_Area" localSheetId="0">'приложение к заключению'!$A$1:$Q$90</definedName>
    <definedName name="п">{#N/A,#N/A,FALSE,"Вып.доходы"}</definedName>
    <definedName name="п_1">{#N/A,#N/A,FALSE,"Вып.доходы"}</definedName>
    <definedName name="пп">{#N/A,#N/A,FALSE,"Вып.доходы"}</definedName>
    <definedName name="пп_1">{#N/A,#N/A,FALSE,"Вып.доходы"}</definedName>
    <definedName name="про">{#N/A,#N/A,FALSE,"Вып.доходы"}</definedName>
    <definedName name="про_1">{#N/A,#N/A,FALSE,"Вып.доходы"}</definedName>
    <definedName name="пру">{#N/A,#N/A,FALSE,"Вып.доходы"}</definedName>
    <definedName name="пру_1">{#N/A,#N/A,FALSE,"Вып.доходы"}</definedName>
    <definedName name="р">{#N/A,#N/A,FALSE,"Вып.доходы"}</definedName>
    <definedName name="р_1">{#N/A,#N/A,FALSE,"Вып.доходы"}</definedName>
    <definedName name="рр">{#N/A,#N/A,FALSE,"Вып.доходы"}</definedName>
    <definedName name="рр_1">{#N/A,#N/A,FALSE,"Вып.доходы"}</definedName>
    <definedName name="рш85">{#N/A,#N/A,FALSE,"Вып.доходы"}</definedName>
    <definedName name="рш85_1">{#N/A,#N/A,FALSE,"Вып.доходы"}</definedName>
    <definedName name="с">{#N/A,#N/A,FALSE,"Вып.доходы"}</definedName>
    <definedName name="с_1">{#N/A,#N/A,FALSE,"Вып.доходы"}</definedName>
    <definedName name="у">{#N/A,#N/A,FALSE,"Вып.доходы"}</definedName>
    <definedName name="у_1">{#N/A,#N/A,FALSE,"Вып.доходы"}</definedName>
    <definedName name="укке">{#N/A,#N/A,FALSE,"Вып.доходы"}</definedName>
    <definedName name="укке_1">{#N/A,#N/A,FALSE,"Вып.доходы"}</definedName>
    <definedName name="уук">{#N/A,#N/A,FALSE,"Вып.доходы"}</definedName>
    <definedName name="уук_1">{#N/A,#N/A,FALSE,"Вып.доходы"}</definedName>
    <definedName name="уц">{#N/A,#N/A,FALSE,"Вып.доходы"}</definedName>
    <definedName name="уц_1">{#N/A,#N/A,FALSE,"Вып.доходы"}</definedName>
    <definedName name="функ">{#N/A,#N/A,FALSE,"Вып.доходы"}</definedName>
    <definedName name="функ_1">{#N/A,#N/A,FALSE,"Вып.доходы"}</definedName>
    <definedName name="х">{#N/A,#N/A,FALSE,"Вып.доходы"}</definedName>
    <definedName name="х_1">{#N/A,#N/A,FALSE,"Вып.доходы"}</definedName>
    <definedName name="ц">{#N/A,#N/A,FALSE,"Вып.доходы"}</definedName>
    <definedName name="ц_1">{#N/A,#N/A,FALSE,"Вып.доходы"}</definedName>
    <definedName name="цукц">{#N/A,#N/A,FALSE,"Вып.доходы"}</definedName>
    <definedName name="цукц_1">{#N/A,#N/A,FALSE,"Вып.доходы"}</definedName>
    <definedName name="ш">{#N/A,#N/A,FALSE,"Вып.доходы"}</definedName>
    <definedName name="ш_1">{#N/A,#N/A,FALSE,"Вып.доходы"}</definedName>
    <definedName name="шщдшг">{#N/A,#N/A,FALSE,"Вып.доходы"}</definedName>
    <definedName name="шщдшг_1">{#N/A,#N/A,FALSE,"Вып.доходы"}</definedName>
    <definedName name="щз">{#N/A,#N/A,FALSE,"Вып.доходы"}</definedName>
    <definedName name="щз_1">{#N/A,#N/A,FALSE,"Вып.доходы"}</definedName>
    <definedName name="щню.п">{#N/A,#N/A,FALSE,"Вып.доходы"}</definedName>
    <definedName name="щню.п_1">{#N/A,#N/A,FALSE,"Вып.доходы"}</definedName>
  </definedNames>
  <calcPr fullCalcOnLoad="1"/>
</workbook>
</file>

<file path=xl/sharedStrings.xml><?xml version="1.0" encoding="utf-8"?>
<sst xmlns="http://schemas.openxmlformats.org/spreadsheetml/2006/main" count="239" uniqueCount="115">
  <si>
    <t>(тыс. рублей)</t>
  </si>
  <si>
    <t>Раз-дел</t>
  </si>
  <si>
    <t>Подраз-дел</t>
  </si>
  <si>
    <t>1</t>
  </si>
  <si>
    <t>3</t>
  </si>
  <si>
    <t>4</t>
  </si>
  <si>
    <t>5</t>
  </si>
  <si>
    <t>7</t>
  </si>
  <si>
    <t>8</t>
  </si>
  <si>
    <t>9</t>
  </si>
  <si>
    <t>10=9-8</t>
  </si>
  <si>
    <t>12=11-5</t>
  </si>
  <si>
    <t>13=11/5</t>
  </si>
  <si>
    <t>14=11-7</t>
  </si>
  <si>
    <t>15=11/7</t>
  </si>
  <si>
    <t>16=11-9</t>
  </si>
  <si>
    <t>17=11/9</t>
  </si>
  <si>
    <t>01</t>
  </si>
  <si>
    <t>Общегосударственные вопросы</t>
  </si>
  <si>
    <t>Доля в общем объеме расходов</t>
  </si>
  <si>
    <t>02</t>
  </si>
  <si>
    <t>Функционирование высшего должностного лица субъекта Российской Федерации и органа местного самоуправления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</si>
  <si>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</si>
  <si>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</si>
  <si>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</si>
  <si>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</si>
  <si>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</si>
  <si>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</si>
  <si>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</si>
  <si>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</si>
  <si>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</t>
  </si>
  <si>
    <t>Обеспечение проведения выборов и референдумов</t>
  </si>
  <si>
    <t>11</t>
  </si>
  <si>
    <t>Резервные фонды</t>
  </si>
  <si>
    <t>13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</si>
  <si>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</si>
  <si>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</si>
  <si>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</si>
  <si>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</si>
  <si>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</si>
  <si>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</si>
  <si>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10</t>
  </si>
  <si>
    <t>Обеспечение пожарной безопасности</t>
  </si>
  <si>
    <t>14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</si>
  <si>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</si>
  <si>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</si>
  <si>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</si>
  <si>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Лесное хозяйство</t>
  </si>
  <si>
    <t>08</t>
  </si>
  <si>
    <t>Дорожное хозяйство (Дорожные фонды)</t>
  </si>
  <si>
    <t>Связь и информатика</t>
  </si>
  <si>
    <t>12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</si>
  <si>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</si>
  <si>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</si>
  <si>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</si>
  <si>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</si>
  <si>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</si>
  <si>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</si>
  <si>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</si>
  <si>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</si>
  <si>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</si>
  <si>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</si>
  <si>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</si>
  <si>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</si>
  <si>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</si>
  <si>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</si>
  <si>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</si>
  <si>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</si>
  <si>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</si>
  <si>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</si>
  <si>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</si>
  <si>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</si>
  <si>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</si>
  <si>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</si>
  <si>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</si>
  <si>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</si>
  <si>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</si>
  <si>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</si>
  <si>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</si>
  <si>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</si>
  <si>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</si>
  <si>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</si>
  <si>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</si>
  <si>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</si>
  <si>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</si>
  <si>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</si>
  <si>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</si>
  <si>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Другие вопросы в области средств массовой информации</t>
  </si>
  <si>
    <t>Обслуживание государственного и муниципального долга</t>
  </si>
  <si>
    <t xml:space="preserve">Всего расходов </t>
  </si>
  <si>
    <t xml:space="preserve">Органы внутренних дел </t>
  </si>
  <si>
    <t>% исполнения</t>
  </si>
  <si>
    <t xml:space="preserve">Прочие межбюджетные трансферты общего характера </t>
  </si>
  <si>
    <t>Уточненный план с учетом изменения бюджетной росписи (годовой отчет)</t>
  </si>
  <si>
    <t>Фактически исполнено (годовой отчет)</t>
  </si>
  <si>
    <t>Приложение 3 к заключению КРК</t>
  </si>
  <si>
    <t xml:space="preserve">2014 год </t>
  </si>
  <si>
    <t>2015 год</t>
  </si>
  <si>
    <t>Анализ основных характеристик исполнения расходной части бюджета за 2015 год</t>
  </si>
  <si>
    <t>Отклонение фактического исполнения 2015 года от 2014 года</t>
  </si>
  <si>
    <t>% фактического исполнения  2015 года к 2014 году</t>
  </si>
  <si>
    <t>Отклонение фактического исполнения  2015 года от первоначаль-ного плана</t>
  </si>
  <si>
    <t>% фактического исполнения  2015 года к первоначаль-ному плану</t>
  </si>
  <si>
    <t>% фактического исполнения  2015 года к уточненному плану</t>
  </si>
  <si>
    <t>Отклонение фактического исполнения  2015 года от уточненного плана (годовой отчет)</t>
  </si>
  <si>
    <t xml:space="preserve">Сельское хозяйство и рыболовство </t>
  </si>
  <si>
    <t>Плановые назначения  (решение Думы от 28.04.2015г.
№142)</t>
  </si>
  <si>
    <t>Иполнение (решение Думы от 28.04.2015г. 
№142)</t>
  </si>
  <si>
    <t>Утвержденный план
(решение Думы от 22.12.15г.
№173)</t>
  </si>
  <si>
    <t xml:space="preserve">Первоначальный план 
(решение Думы от 30.12.14г.
№127) </t>
  </si>
  <si>
    <t>Отклонение плана в годовом отчете от плана в решении Думы от 30.12.14г. 
№127)</t>
  </si>
  <si>
    <t>Культура,  кинематография</t>
  </si>
  <si>
    <t xml:space="preserve">Межбюджетные трансферты общего характера бюджетам бюджетной системы РФ </t>
  </si>
  <si>
    <t>00</t>
  </si>
  <si>
    <t>Дотации на выравнивание бюджетной обеспеченности субъектов РФ и муниципальных образований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</si>
</sst>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0.0%"/>
    <numFmt numFmtId="175" formatCode="#,##0.000"/>
    <numFmt numFmtId="176" formatCode="#,##0.0000"/>
  </numFmts>
  <fonts count="4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sz val="10"/>
      <color indexed="10"/>
      <name val="Arial Cyr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9"/>
      <name val="Times New Roman CYR"/>
      <family val="1"/>
    </font>
    <font>
      <b/>
      <sz val="12"/>
      <name val="Times New Roman"/>
      <family val="1"/>
    </font>
    <font>
      <b/>
      <sz val="9"/>
      <name val="Arial Cyr"/>
      <family val="2"/>
    </font>
    <font>
      <sz val="9"/>
      <name val="Times New Roman Cyr"/>
      <family val="1"/>
    </font>
    <font>
      <sz val="9"/>
      <name val="Times New Roman"/>
      <family val="1"/>
    </font>
    <font>
      <sz val="9"/>
      <name val="Arial Cyr"/>
      <family val="2"/>
    </font>
    <font>
      <b/>
      <sz val="12"/>
      <name val="Times New Roman Cyr"/>
      <family val="1"/>
    </font>
    <font>
      <b/>
      <sz val="11"/>
      <name val="Arial Cyr"/>
      <family val="2"/>
    </font>
    <font>
      <sz val="12"/>
      <name val="Times New Roman Cyr"/>
      <family val="1"/>
    </font>
    <font>
      <sz val="11"/>
      <name val="Arial Cyr"/>
      <family val="2"/>
    </font>
    <font>
      <b/>
      <sz val="12"/>
      <color indexed="10"/>
      <name val="Times New Roman Cyr"/>
      <family val="1"/>
    </font>
    <font>
      <b/>
      <sz val="10"/>
      <name val="Times New Roman CYR"/>
      <family val="1"/>
    </font>
    <font>
      <b/>
      <sz val="10"/>
      <color indexed="10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8"/>
      <name val="Arial Cyr"/>
      <family val="2"/>
    </font>
    <font>
      <i/>
      <sz val="10"/>
      <name val="Arial Cyr"/>
      <family val="0"/>
    </font>
    <font>
      <b/>
      <sz val="16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93">
    <xf numFmtId="0" fontId="0" fillId="0" borderId="0" xfId="0" applyAlignment="1">
      <alignment/>
    </xf>
    <xf numFmtId="49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Alignment="1">
      <alignment horizontal="right"/>
    </xf>
    <xf numFmtId="0" fontId="21" fillId="0" borderId="0" xfId="0" applyFont="1" applyAlignment="1">
      <alignment/>
    </xf>
    <xf numFmtId="49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49" fontId="26" fillId="0" borderId="10" xfId="0" applyNumberFormat="1" applyFont="1" applyFill="1" applyBorder="1" applyAlignment="1">
      <alignment horizontal="center" vertical="center" wrapText="1"/>
    </xf>
    <xf numFmtId="172" fontId="26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2" fillId="0" borderId="0" xfId="0" applyFont="1" applyAlignment="1">
      <alignment/>
    </xf>
    <xf numFmtId="174" fontId="26" fillId="0" borderId="10" xfId="52" applyNumberFormat="1" applyFont="1" applyFill="1" applyBorder="1" applyAlignment="1">
      <alignment horizontal="center" vertical="center"/>
      <protection/>
    </xf>
    <xf numFmtId="174" fontId="23" fillId="0" borderId="10" xfId="52" applyNumberFormat="1" applyFont="1" applyFill="1" applyBorder="1" applyAlignment="1">
      <alignment horizontal="center" vertical="center"/>
      <protection/>
    </xf>
    <xf numFmtId="174" fontId="23" fillId="0" borderId="1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Alignment="1">
      <alignment/>
    </xf>
    <xf numFmtId="10" fontId="26" fillId="0" borderId="10" xfId="52" applyNumberFormat="1" applyFont="1" applyFill="1" applyBorder="1" applyAlignment="1">
      <alignment horizontal="center" vertical="center"/>
      <protection/>
    </xf>
    <xf numFmtId="0" fontId="32" fillId="0" borderId="0" xfId="0" applyFont="1" applyFill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11" xfId="0" applyFont="1" applyBorder="1" applyAlignment="1">
      <alignment/>
    </xf>
    <xf numFmtId="0" fontId="34" fillId="0" borderId="12" xfId="0" applyFont="1" applyBorder="1" applyAlignment="1">
      <alignment/>
    </xf>
    <xf numFmtId="0" fontId="34" fillId="0" borderId="13" xfId="0" applyFont="1" applyBorder="1" applyAlignment="1">
      <alignment/>
    </xf>
    <xf numFmtId="49" fontId="31" fillId="0" borderId="0" xfId="0" applyNumberFormat="1" applyFont="1" applyFill="1" applyBorder="1" applyAlignment="1">
      <alignment horizontal="center"/>
    </xf>
    <xf numFmtId="49" fontId="31" fillId="0" borderId="0" xfId="0" applyNumberFormat="1" applyFont="1" applyFill="1" applyBorder="1" applyAlignment="1">
      <alignment wrapText="1"/>
    </xf>
    <xf numFmtId="174" fontId="31" fillId="0" borderId="0" xfId="0" applyNumberFormat="1" applyFont="1" applyFill="1" applyBorder="1" applyAlignment="1">
      <alignment horizontal="center" vertical="center" wrapText="1"/>
    </xf>
    <xf numFmtId="174" fontId="23" fillId="0" borderId="0" xfId="0" applyNumberFormat="1" applyFont="1" applyFill="1" applyBorder="1" applyAlignment="1">
      <alignment horizontal="center" vertical="center"/>
    </xf>
    <xf numFmtId="173" fontId="35" fillId="0" borderId="0" xfId="0" applyNumberFormat="1" applyFont="1" applyFill="1" applyBorder="1" applyAlignment="1">
      <alignment horizontal="center" vertical="center" wrapText="1"/>
    </xf>
    <xf numFmtId="173" fontId="26" fillId="0" borderId="0" xfId="0" applyNumberFormat="1" applyFont="1" applyFill="1" applyBorder="1" applyAlignment="1">
      <alignment horizontal="center" vertical="center"/>
    </xf>
    <xf numFmtId="174" fontId="26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wrapText="1"/>
    </xf>
    <xf numFmtId="173" fontId="21" fillId="0" borderId="0" xfId="0" applyNumberFormat="1" applyFont="1" applyFill="1" applyBorder="1" applyAlignment="1">
      <alignment horizontal="center"/>
    </xf>
    <xf numFmtId="173" fontId="22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4" fillId="24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  <xf numFmtId="173" fontId="2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73" fontId="0" fillId="0" borderId="0" xfId="0" applyNumberFormat="1" applyFill="1" applyAlignment="1">
      <alignment horizontal="center"/>
    </xf>
    <xf numFmtId="173" fontId="0" fillId="0" borderId="0" xfId="0" applyNumberFormat="1" applyFont="1" applyFill="1" applyAlignment="1">
      <alignment horizontal="center"/>
    </xf>
    <xf numFmtId="173" fontId="20" fillId="0" borderId="0" xfId="0" applyNumberFormat="1" applyFont="1" applyFill="1" applyAlignment="1">
      <alignment horizontal="center"/>
    </xf>
    <xf numFmtId="49" fontId="36" fillId="0" borderId="0" xfId="0" applyNumberFormat="1" applyFont="1" applyFill="1" applyBorder="1" applyAlignment="1">
      <alignment horizontal="center"/>
    </xf>
    <xf numFmtId="49" fontId="36" fillId="0" borderId="0" xfId="0" applyNumberFormat="1" applyFont="1" applyFill="1" applyBorder="1" applyAlignment="1">
      <alignment wrapText="1"/>
    </xf>
    <xf numFmtId="0" fontId="38" fillId="0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21" fillId="0" borderId="0" xfId="0" applyFont="1" applyFill="1" applyBorder="1" applyAlignment="1">
      <alignment wrapText="1"/>
    </xf>
    <xf numFmtId="173" fontId="0" fillId="0" borderId="0" xfId="0" applyNumberFormat="1" applyFill="1" applyAlignment="1">
      <alignment/>
    </xf>
    <xf numFmtId="173" fontId="0" fillId="0" borderId="0" xfId="0" applyNumberFormat="1" applyFont="1" applyFill="1" applyAlignment="1">
      <alignment/>
    </xf>
    <xf numFmtId="173" fontId="20" fillId="0" borderId="0" xfId="0" applyNumberFormat="1" applyFont="1" applyFill="1" applyBorder="1" applyAlignment="1">
      <alignment/>
    </xf>
    <xf numFmtId="173" fontId="20" fillId="0" borderId="0" xfId="0" applyNumberFormat="1" applyFont="1" applyFill="1" applyAlignment="1">
      <alignment/>
    </xf>
    <xf numFmtId="0" fontId="36" fillId="0" borderId="0" xfId="0" applyFont="1" applyFill="1" applyBorder="1" applyAlignment="1">
      <alignment horizontal="center"/>
    </xf>
    <xf numFmtId="0" fontId="38" fillId="0" borderId="0" xfId="0" applyFont="1" applyFill="1" applyAlignment="1">
      <alignment/>
    </xf>
    <xf numFmtId="0" fontId="39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174" fontId="26" fillId="25" borderId="10" xfId="52" applyNumberFormat="1" applyFont="1" applyFill="1" applyBorder="1" applyAlignment="1">
      <alignment horizontal="center" vertical="center"/>
      <protection/>
    </xf>
    <xf numFmtId="4" fontId="26" fillId="25" borderId="10" xfId="0" applyNumberFormat="1" applyFont="1" applyFill="1" applyBorder="1" applyAlignment="1">
      <alignment horizontal="center" vertical="center"/>
    </xf>
    <xf numFmtId="0" fontId="34" fillId="25" borderId="0" xfId="0" applyFont="1" applyFill="1" applyAlignment="1">
      <alignment/>
    </xf>
    <xf numFmtId="4" fontId="26" fillId="26" borderId="10" xfId="0" applyNumberFormat="1" applyFont="1" applyFill="1" applyBorder="1" applyAlignment="1">
      <alignment horizontal="center" vertical="center"/>
    </xf>
    <xf numFmtId="0" fontId="32" fillId="26" borderId="0" xfId="0" applyFont="1" applyFill="1" applyAlignment="1">
      <alignment/>
    </xf>
    <xf numFmtId="4" fontId="26" fillId="27" borderId="10" xfId="0" applyNumberFormat="1" applyFont="1" applyFill="1" applyBorder="1" applyAlignment="1">
      <alignment horizontal="center" vertical="center"/>
    </xf>
    <xf numFmtId="174" fontId="26" fillId="27" borderId="10" xfId="52" applyNumberFormat="1" applyFont="1" applyFill="1" applyBorder="1" applyAlignment="1">
      <alignment horizontal="center" vertical="center"/>
      <protection/>
    </xf>
    <xf numFmtId="0" fontId="34" fillId="27" borderId="0" xfId="0" applyFont="1" applyFill="1" applyAlignment="1">
      <alignment/>
    </xf>
    <xf numFmtId="4" fontId="26" fillId="28" borderId="10" xfId="0" applyNumberFormat="1" applyFont="1" applyFill="1" applyBorder="1" applyAlignment="1">
      <alignment horizontal="center" vertical="center"/>
    </xf>
    <xf numFmtId="174" fontId="26" fillId="28" borderId="10" xfId="52" applyNumberFormat="1" applyFont="1" applyFill="1" applyBorder="1" applyAlignment="1">
      <alignment horizontal="center" vertical="center"/>
      <protection/>
    </xf>
    <xf numFmtId="0" fontId="34" fillId="28" borderId="0" xfId="0" applyFont="1" applyFill="1" applyAlignment="1">
      <alignment/>
    </xf>
    <xf numFmtId="4" fontId="26" fillId="0" borderId="10" xfId="0" applyNumberFormat="1" applyFont="1" applyFill="1" applyBorder="1" applyAlignment="1">
      <alignment horizontal="center" vertical="center"/>
    </xf>
    <xf numFmtId="4" fontId="33" fillId="0" borderId="10" xfId="0" applyNumberFormat="1" applyFont="1" applyFill="1" applyBorder="1" applyAlignment="1">
      <alignment horizontal="center" vertical="center"/>
    </xf>
    <xf numFmtId="4" fontId="33" fillId="0" borderId="10" xfId="0" applyNumberFormat="1" applyFont="1" applyFill="1" applyBorder="1" applyAlignment="1">
      <alignment horizontal="center" vertical="center"/>
    </xf>
    <xf numFmtId="4" fontId="31" fillId="0" borderId="10" xfId="0" applyNumberFormat="1" applyFont="1" applyFill="1" applyBorder="1" applyAlignment="1">
      <alignment horizontal="center" vertical="center"/>
    </xf>
    <xf numFmtId="4" fontId="26" fillId="0" borderId="10" xfId="52" applyNumberFormat="1" applyFont="1" applyFill="1" applyBorder="1" applyAlignment="1">
      <alignment horizontal="center" vertical="center"/>
      <protection/>
    </xf>
    <xf numFmtId="4" fontId="23" fillId="0" borderId="10" xfId="52" applyNumberFormat="1" applyFont="1" applyFill="1" applyBorder="1" applyAlignment="1">
      <alignment horizontal="center" vertical="center"/>
      <protection/>
    </xf>
    <xf numFmtId="4" fontId="23" fillId="0" borderId="10" xfId="0" applyNumberFormat="1" applyFont="1" applyFill="1" applyBorder="1" applyAlignment="1">
      <alignment horizontal="center" vertical="center"/>
    </xf>
    <xf numFmtId="4" fontId="31" fillId="0" borderId="10" xfId="0" applyNumberFormat="1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wrapText="1"/>
    </xf>
    <xf numFmtId="49" fontId="36" fillId="0" borderId="0" xfId="0" applyNumberFormat="1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4" fontId="26" fillId="29" borderId="10" xfId="0" applyNumberFormat="1" applyFont="1" applyFill="1" applyBorder="1" applyAlignment="1">
      <alignment horizontal="center" vertical="center"/>
    </xf>
    <xf numFmtId="174" fontId="26" fillId="29" borderId="10" xfId="52" applyNumberFormat="1" applyFont="1" applyFill="1" applyBorder="1" applyAlignment="1">
      <alignment horizontal="center" vertical="center"/>
      <protection/>
    </xf>
    <xf numFmtId="174" fontId="26" fillId="29" borderId="10" xfId="0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/>
    </xf>
    <xf numFmtId="173" fontId="37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173" fontId="37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37" fillId="0" borderId="0" xfId="0" applyFont="1" applyFill="1" applyAlignment="1">
      <alignment/>
    </xf>
    <xf numFmtId="0" fontId="41" fillId="0" borderId="0" xfId="0" applyFont="1" applyFill="1" applyBorder="1" applyAlignment="1">
      <alignment horizontal="right"/>
    </xf>
    <xf numFmtId="4" fontId="26" fillId="30" borderId="10" xfId="0" applyNumberFormat="1" applyFont="1" applyFill="1" applyBorder="1" applyAlignment="1">
      <alignment horizontal="center" vertical="center"/>
    </xf>
    <xf numFmtId="174" fontId="26" fillId="30" borderId="10" xfId="0" applyNumberFormat="1" applyFont="1" applyFill="1" applyBorder="1" applyAlignment="1">
      <alignment horizontal="center" vertical="center"/>
    </xf>
    <xf numFmtId="0" fontId="32" fillId="30" borderId="0" xfId="0" applyFont="1" applyFill="1" applyAlignment="1">
      <alignment/>
    </xf>
    <xf numFmtId="0" fontId="32" fillId="29" borderId="0" xfId="0" applyFont="1" applyFill="1" applyAlignment="1">
      <alignment/>
    </xf>
    <xf numFmtId="4" fontId="26" fillId="31" borderId="10" xfId="0" applyNumberFormat="1" applyFont="1" applyFill="1" applyBorder="1" applyAlignment="1">
      <alignment horizontal="center" vertical="center"/>
    </xf>
    <xf numFmtId="174" fontId="26" fillId="31" borderId="10" xfId="52" applyNumberFormat="1" applyFont="1" applyFill="1" applyBorder="1" applyAlignment="1">
      <alignment horizontal="center" vertical="center"/>
      <protection/>
    </xf>
    <xf numFmtId="0" fontId="34" fillId="31" borderId="0" xfId="0" applyFont="1" applyFill="1" applyAlignment="1">
      <alignment/>
    </xf>
    <xf numFmtId="4" fontId="26" fillId="32" borderId="10" xfId="0" applyNumberFormat="1" applyFont="1" applyFill="1" applyBorder="1" applyAlignment="1">
      <alignment horizontal="center" vertical="center"/>
    </xf>
    <xf numFmtId="0" fontId="32" fillId="32" borderId="0" xfId="0" applyFont="1" applyFill="1" applyAlignment="1">
      <alignment/>
    </xf>
    <xf numFmtId="174" fontId="26" fillId="26" borderId="10" xfId="52" applyNumberFormat="1" applyFont="1" applyFill="1" applyBorder="1" applyAlignment="1">
      <alignment horizontal="center" vertical="center"/>
      <protection/>
    </xf>
    <xf numFmtId="4" fontId="26" fillId="33" borderId="10" xfId="0" applyNumberFormat="1" applyFont="1" applyFill="1" applyBorder="1" applyAlignment="1">
      <alignment horizontal="center" vertical="center"/>
    </xf>
    <xf numFmtId="174" fontId="26" fillId="33" borderId="10" xfId="52" applyNumberFormat="1" applyFont="1" applyFill="1" applyBorder="1" applyAlignment="1">
      <alignment horizontal="center" vertical="center"/>
      <protection/>
    </xf>
    <xf numFmtId="0" fontId="34" fillId="33" borderId="0" xfId="0" applyFont="1" applyFill="1" applyAlignment="1">
      <alignment/>
    </xf>
    <xf numFmtId="4" fontId="31" fillId="30" borderId="10" xfId="0" applyNumberFormat="1" applyFont="1" applyFill="1" applyBorder="1" applyAlignment="1">
      <alignment horizontal="center" vertical="center"/>
    </xf>
    <xf numFmtId="174" fontId="26" fillId="30" borderId="10" xfId="52" applyNumberFormat="1" applyFont="1" applyFill="1" applyBorder="1" applyAlignment="1">
      <alignment horizontal="center" vertical="center"/>
      <protection/>
    </xf>
    <xf numFmtId="0" fontId="34" fillId="30" borderId="0" xfId="0" applyFont="1" applyFill="1" applyAlignment="1">
      <alignment/>
    </xf>
    <xf numFmtId="4" fontId="31" fillId="29" borderId="10" xfId="0" applyNumberFormat="1" applyFont="1" applyFill="1" applyBorder="1" applyAlignment="1">
      <alignment horizontal="center" vertical="center"/>
    </xf>
    <xf numFmtId="10" fontId="26" fillId="30" borderId="10" xfId="0" applyNumberFormat="1" applyFont="1" applyFill="1" applyBorder="1" applyAlignment="1">
      <alignment horizontal="center" vertical="center"/>
    </xf>
    <xf numFmtId="10" fontId="26" fillId="0" borderId="10" xfId="0" applyNumberFormat="1" applyFont="1" applyFill="1" applyBorder="1" applyAlignment="1">
      <alignment horizontal="center" vertical="center"/>
    </xf>
    <xf numFmtId="10" fontId="23" fillId="0" borderId="10" xfId="0" applyNumberFormat="1" applyFont="1" applyFill="1" applyBorder="1" applyAlignment="1">
      <alignment horizontal="center" vertical="center"/>
    </xf>
    <xf numFmtId="10" fontId="26" fillId="28" borderId="10" xfId="0" applyNumberFormat="1" applyFont="1" applyFill="1" applyBorder="1" applyAlignment="1">
      <alignment horizontal="center" vertical="center"/>
    </xf>
    <xf numFmtId="10" fontId="26" fillId="29" borderId="10" xfId="0" applyNumberFormat="1" applyFont="1" applyFill="1" applyBorder="1" applyAlignment="1">
      <alignment horizontal="center" vertical="center"/>
    </xf>
    <xf numFmtId="10" fontId="26" fillId="27" borderId="10" xfId="0" applyNumberFormat="1" applyFont="1" applyFill="1" applyBorder="1" applyAlignment="1">
      <alignment horizontal="center" vertical="center"/>
    </xf>
    <xf numFmtId="10" fontId="23" fillId="29" borderId="10" xfId="0" applyNumberFormat="1" applyFont="1" applyFill="1" applyBorder="1" applyAlignment="1">
      <alignment horizontal="center" vertical="center"/>
    </xf>
    <xf numFmtId="10" fontId="26" fillId="25" borderId="10" xfId="0" applyNumberFormat="1" applyFont="1" applyFill="1" applyBorder="1" applyAlignment="1">
      <alignment horizontal="center" vertical="center"/>
    </xf>
    <xf numFmtId="10" fontId="23" fillId="25" borderId="10" xfId="0" applyNumberFormat="1" applyFont="1" applyFill="1" applyBorder="1" applyAlignment="1">
      <alignment horizontal="center" vertical="center"/>
    </xf>
    <xf numFmtId="10" fontId="26" fillId="31" borderId="10" xfId="0" applyNumberFormat="1" applyFont="1" applyFill="1" applyBorder="1" applyAlignment="1">
      <alignment horizontal="center" vertical="center"/>
    </xf>
    <xf numFmtId="10" fontId="23" fillId="31" borderId="10" xfId="0" applyNumberFormat="1" applyFont="1" applyFill="1" applyBorder="1" applyAlignment="1">
      <alignment horizontal="center" vertical="center"/>
    </xf>
    <xf numFmtId="10" fontId="26" fillId="32" borderId="10" xfId="0" applyNumberFormat="1" applyFont="1" applyFill="1" applyBorder="1" applyAlignment="1">
      <alignment horizontal="center" vertical="center"/>
    </xf>
    <xf numFmtId="10" fontId="23" fillId="32" borderId="10" xfId="0" applyNumberFormat="1" applyFont="1" applyFill="1" applyBorder="1" applyAlignment="1">
      <alignment horizontal="center" vertical="center"/>
    </xf>
    <xf numFmtId="10" fontId="26" fillId="26" borderId="10" xfId="0" applyNumberFormat="1" applyFont="1" applyFill="1" applyBorder="1" applyAlignment="1">
      <alignment horizontal="center" vertical="center"/>
    </xf>
    <xf numFmtId="10" fontId="23" fillId="26" borderId="10" xfId="0" applyNumberFormat="1" applyFont="1" applyFill="1" applyBorder="1" applyAlignment="1">
      <alignment horizontal="center" vertical="center"/>
    </xf>
    <xf numFmtId="10" fontId="26" fillId="33" borderId="10" xfId="0" applyNumberFormat="1" applyFont="1" applyFill="1" applyBorder="1" applyAlignment="1">
      <alignment horizontal="center" vertical="center"/>
    </xf>
    <xf numFmtId="10" fontId="23" fillId="33" borderId="10" xfId="0" applyNumberFormat="1" applyFont="1" applyFill="1" applyBorder="1" applyAlignment="1">
      <alignment horizontal="center" vertical="center"/>
    </xf>
    <xf numFmtId="10" fontId="23" fillId="27" borderId="10" xfId="0" applyNumberFormat="1" applyFont="1" applyFill="1" applyBorder="1" applyAlignment="1">
      <alignment horizontal="center" vertical="center"/>
    </xf>
    <xf numFmtId="10" fontId="23" fillId="28" borderId="10" xfId="0" applyNumberFormat="1" applyFont="1" applyFill="1" applyBorder="1" applyAlignment="1">
      <alignment horizontal="center" vertical="center"/>
    </xf>
    <xf numFmtId="10" fontId="23" fillId="30" borderId="10" xfId="0" applyNumberFormat="1" applyFont="1" applyFill="1" applyBorder="1" applyAlignment="1">
      <alignment horizontal="center" vertical="center"/>
    </xf>
    <xf numFmtId="49" fontId="31" fillId="30" borderId="10" xfId="0" applyNumberFormat="1" applyFont="1" applyFill="1" applyBorder="1" applyAlignment="1">
      <alignment horizontal="justify" vertical="center"/>
    </xf>
    <xf numFmtId="0" fontId="0" fillId="0" borderId="10" xfId="0" applyFill="1" applyBorder="1" applyAlignment="1">
      <alignment horizontal="justify" vertical="center"/>
    </xf>
    <xf numFmtId="49" fontId="31" fillId="0" borderId="10" xfId="0" applyNumberFormat="1" applyFont="1" applyFill="1" applyBorder="1" applyAlignment="1">
      <alignment horizontal="justify" vertical="center" wrapText="1"/>
    </xf>
    <xf numFmtId="49" fontId="33" fillId="0" borderId="10" xfId="0" applyNumberFormat="1" applyFont="1" applyFill="1" applyBorder="1" applyAlignment="1">
      <alignment horizontal="justify" vertical="center"/>
    </xf>
    <xf numFmtId="49" fontId="33" fillId="0" borderId="10" xfId="0" applyNumberFormat="1" applyFont="1" applyFill="1" applyBorder="1" applyAlignment="1">
      <alignment horizontal="justify" vertical="center" wrapText="1"/>
    </xf>
    <xf numFmtId="49" fontId="33" fillId="0" borderId="10" xfId="0" applyNumberFormat="1" applyFont="1" applyFill="1" applyBorder="1" applyAlignment="1">
      <alignment horizontal="justify" vertical="center"/>
    </xf>
    <xf numFmtId="49" fontId="31" fillId="0" borderId="10" xfId="0" applyNumberFormat="1" applyFont="1" applyFill="1" applyBorder="1" applyAlignment="1">
      <alignment horizontal="justify" vertical="center"/>
    </xf>
    <xf numFmtId="49" fontId="23" fillId="0" borderId="10" xfId="0" applyNumberFormat="1" applyFont="1" applyFill="1" applyBorder="1" applyAlignment="1">
      <alignment horizontal="justify" vertical="center" wrapText="1"/>
    </xf>
    <xf numFmtId="49" fontId="31" fillId="29" borderId="10" xfId="0" applyNumberFormat="1" applyFont="1" applyFill="1" applyBorder="1" applyAlignment="1">
      <alignment horizontal="justify" vertical="center"/>
    </xf>
    <xf numFmtId="49" fontId="31" fillId="29" borderId="10" xfId="0" applyNumberFormat="1" applyFont="1" applyFill="1" applyBorder="1" applyAlignment="1">
      <alignment horizontal="justify" vertical="center" wrapText="1"/>
    </xf>
    <xf numFmtId="49" fontId="33" fillId="0" borderId="10" xfId="0" applyNumberFormat="1" applyFont="1" applyFill="1" applyBorder="1" applyAlignment="1">
      <alignment horizontal="justify" vertical="center" wrapText="1"/>
    </xf>
    <xf numFmtId="0" fontId="23" fillId="0" borderId="10" xfId="0" applyFont="1" applyFill="1" applyBorder="1" applyAlignment="1">
      <alignment horizontal="justify" vertical="center" wrapText="1"/>
    </xf>
    <xf numFmtId="49" fontId="31" fillId="25" borderId="10" xfId="0" applyNumberFormat="1" applyFont="1" applyFill="1" applyBorder="1" applyAlignment="1">
      <alignment horizontal="justify" vertical="center"/>
    </xf>
    <xf numFmtId="49" fontId="31" fillId="25" borderId="10" xfId="0" applyNumberFormat="1" applyFont="1" applyFill="1" applyBorder="1" applyAlignment="1">
      <alignment horizontal="justify" vertical="center" wrapText="1"/>
    </xf>
    <xf numFmtId="49" fontId="31" fillId="31" borderId="10" xfId="0" applyNumberFormat="1" applyFont="1" applyFill="1" applyBorder="1" applyAlignment="1">
      <alignment horizontal="justify" vertical="center"/>
    </xf>
    <xf numFmtId="49" fontId="31" fillId="31" borderId="10" xfId="0" applyNumberFormat="1" applyFont="1" applyFill="1" applyBorder="1" applyAlignment="1">
      <alignment horizontal="justify" vertical="center" wrapText="1"/>
    </xf>
    <xf numFmtId="49" fontId="31" fillId="32" borderId="10" xfId="0" applyNumberFormat="1" applyFont="1" applyFill="1" applyBorder="1" applyAlignment="1">
      <alignment horizontal="justify" vertical="center"/>
    </xf>
    <xf numFmtId="49" fontId="31" fillId="32" borderId="10" xfId="0" applyNumberFormat="1" applyFont="1" applyFill="1" applyBorder="1" applyAlignment="1">
      <alignment horizontal="justify" vertical="center" wrapText="1"/>
    </xf>
    <xf numFmtId="49" fontId="31" fillId="26" borderId="10" xfId="0" applyNumberFormat="1" applyFont="1" applyFill="1" applyBorder="1" applyAlignment="1">
      <alignment horizontal="justify" vertical="center"/>
    </xf>
    <xf numFmtId="49" fontId="31" fillId="26" borderId="10" xfId="0" applyNumberFormat="1" applyFont="1" applyFill="1" applyBorder="1" applyAlignment="1">
      <alignment horizontal="justify" vertical="center" wrapText="1"/>
    </xf>
    <xf numFmtId="49" fontId="31" fillId="33" borderId="10" xfId="0" applyNumberFormat="1" applyFont="1" applyFill="1" applyBorder="1" applyAlignment="1">
      <alignment horizontal="justify" vertical="center"/>
    </xf>
    <xf numFmtId="49" fontId="31" fillId="33" borderId="10" xfId="0" applyNumberFormat="1" applyFont="1" applyFill="1" applyBorder="1" applyAlignment="1">
      <alignment horizontal="justify" vertical="center" wrapText="1"/>
    </xf>
    <xf numFmtId="0" fontId="33" fillId="0" borderId="10" xfId="0" applyFont="1" applyFill="1" applyBorder="1" applyAlignment="1">
      <alignment horizontal="justify" vertical="center" wrapText="1"/>
    </xf>
    <xf numFmtId="49" fontId="31" fillId="27" borderId="10" xfId="0" applyNumberFormat="1" applyFont="1" applyFill="1" applyBorder="1" applyAlignment="1">
      <alignment horizontal="justify" vertical="center"/>
    </xf>
    <xf numFmtId="49" fontId="31" fillId="27" borderId="10" xfId="0" applyNumberFormat="1" applyFont="1" applyFill="1" applyBorder="1" applyAlignment="1">
      <alignment horizontal="justify" vertical="center" wrapText="1"/>
    </xf>
    <xf numFmtId="49" fontId="31" fillId="28" borderId="10" xfId="0" applyNumberFormat="1" applyFont="1" applyFill="1" applyBorder="1" applyAlignment="1">
      <alignment horizontal="justify" vertical="center"/>
    </xf>
    <xf numFmtId="0" fontId="31" fillId="28" borderId="10" xfId="0" applyFont="1" applyFill="1" applyBorder="1" applyAlignment="1">
      <alignment horizontal="justify" vertical="center" wrapText="1"/>
    </xf>
    <xf numFmtId="0" fontId="31" fillId="30" borderId="10" xfId="0" applyFont="1" applyFill="1" applyBorder="1" applyAlignment="1">
      <alignment horizontal="justify" vertical="center" wrapText="1"/>
    </xf>
    <xf numFmtId="0" fontId="31" fillId="0" borderId="10" xfId="0" applyFont="1" applyFill="1" applyBorder="1" applyAlignment="1">
      <alignment horizontal="justify" vertical="center" wrapText="1"/>
    </xf>
    <xf numFmtId="0" fontId="31" fillId="29" borderId="10" xfId="0" applyFont="1" applyFill="1" applyBorder="1" applyAlignment="1">
      <alignment horizontal="justify" vertical="center" wrapText="1"/>
    </xf>
    <xf numFmtId="0" fontId="31" fillId="0" borderId="10" xfId="0" applyFont="1" applyFill="1" applyBorder="1" applyAlignment="1">
      <alignment horizontal="justify" vertical="center" wrapText="1"/>
    </xf>
    <xf numFmtId="0" fontId="33" fillId="0" borderId="10" xfId="0" applyFont="1" applyFill="1" applyBorder="1" applyAlignment="1">
      <alignment horizontal="justify" vertical="center" wrapText="1"/>
    </xf>
    <xf numFmtId="49" fontId="31" fillId="34" borderId="10" xfId="0" applyNumberFormat="1" applyFont="1" applyFill="1" applyBorder="1" applyAlignment="1">
      <alignment horizontal="justify" vertical="center"/>
    </xf>
    <xf numFmtId="0" fontId="31" fillId="34" borderId="10" xfId="0" applyFont="1" applyFill="1" applyBorder="1" applyAlignment="1">
      <alignment horizontal="justify" vertical="center" wrapText="1"/>
    </xf>
    <xf numFmtId="4" fontId="31" fillId="34" borderId="10" xfId="0" applyNumberFormat="1" applyFont="1" applyFill="1" applyBorder="1" applyAlignment="1">
      <alignment horizontal="center" vertical="center"/>
    </xf>
    <xf numFmtId="174" fontId="26" fillId="34" borderId="10" xfId="52" applyNumberFormat="1" applyFont="1" applyFill="1" applyBorder="1" applyAlignment="1">
      <alignment horizontal="center" vertical="center"/>
      <protection/>
    </xf>
    <xf numFmtId="4" fontId="26" fillId="34" borderId="10" xfId="0" applyNumberFormat="1" applyFont="1" applyFill="1" applyBorder="1" applyAlignment="1">
      <alignment horizontal="center" vertical="center"/>
    </xf>
    <xf numFmtId="10" fontId="26" fillId="34" borderId="10" xfId="0" applyNumberFormat="1" applyFont="1" applyFill="1" applyBorder="1" applyAlignment="1">
      <alignment horizontal="center" vertical="center"/>
    </xf>
    <xf numFmtId="10" fontId="23" fillId="34" borderId="10" xfId="0" applyNumberFormat="1" applyFont="1" applyFill="1" applyBorder="1" applyAlignment="1">
      <alignment horizontal="center" vertical="center"/>
    </xf>
    <xf numFmtId="4" fontId="26" fillId="35" borderId="10" xfId="0" applyNumberFormat="1" applyFont="1" applyFill="1" applyBorder="1" applyAlignment="1">
      <alignment horizontal="center" vertical="center"/>
    </xf>
    <xf numFmtId="174" fontId="26" fillId="35" borderId="10" xfId="52" applyNumberFormat="1" applyFont="1" applyFill="1" applyBorder="1" applyAlignment="1">
      <alignment horizontal="center" vertical="center"/>
      <protection/>
    </xf>
    <xf numFmtId="10" fontId="31" fillId="0" borderId="10" xfId="0" applyNumberFormat="1" applyFont="1" applyFill="1" applyBorder="1" applyAlignment="1">
      <alignment horizontal="center" vertical="center"/>
    </xf>
    <xf numFmtId="172" fontId="26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42" fillId="0" borderId="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A220"/>
  <sheetViews>
    <sheetView tabSelected="1" view="pageBreakPreview" zoomScale="70" zoomScaleNormal="75" zoomScaleSheetLayoutView="70" zoomScalePageLayoutView="0" workbookViewId="0" topLeftCell="D39">
      <selection activeCell="L85" sqref="L85"/>
    </sheetView>
  </sheetViews>
  <sheetFormatPr defaultColWidth="11.625" defaultRowHeight="12.75"/>
  <cols>
    <col min="1" max="1" width="4.375" style="1" customWidth="1"/>
    <col min="2" max="2" width="4.125" style="2" customWidth="1"/>
    <col min="3" max="3" width="57.00390625" style="1" customWidth="1"/>
    <col min="4" max="4" width="16.25390625" style="1" customWidth="1"/>
    <col min="5" max="5" width="15.75390625" style="3" customWidth="1"/>
    <col min="6" max="6" width="14.125" style="3" customWidth="1"/>
    <col min="7" max="7" width="20.375" style="3" customWidth="1"/>
    <col min="8" max="8" width="18.25390625" style="4" customWidth="1"/>
    <col min="9" max="9" width="17.125" style="5" customWidth="1"/>
    <col min="10" max="10" width="15.75390625" style="5" customWidth="1"/>
    <col min="11" max="11" width="15.125" style="5" customWidth="1"/>
    <col min="12" max="12" width="18.00390625" style="6" customWidth="1"/>
    <col min="13" max="14" width="17.00390625" style="6" customWidth="1"/>
    <col min="15" max="15" width="17.625" style="6" customWidth="1"/>
    <col min="16" max="16" width="17.375" style="0" customWidth="1"/>
    <col min="17" max="17" width="19.875" style="0" customWidth="1"/>
    <col min="18" max="254" width="9.125" style="0" customWidth="1"/>
  </cols>
  <sheetData>
    <row r="1" ht="1.5" customHeight="1"/>
    <row r="2" spans="5:10" ht="12.75" customHeight="1" hidden="1">
      <c r="E2" s="7"/>
      <c r="F2" s="7"/>
      <c r="G2" s="7"/>
      <c r="H2" s="8"/>
      <c r="I2" s="9"/>
      <c r="J2" s="9"/>
    </row>
    <row r="3" spans="5:10" ht="12.75" customHeight="1" hidden="1">
      <c r="E3" s="7"/>
      <c r="F3" s="7"/>
      <c r="G3" s="7"/>
      <c r="H3" s="8"/>
      <c r="I3" s="9"/>
      <c r="J3" s="9"/>
    </row>
    <row r="4" spans="5:10" ht="12.75" customHeight="1" hidden="1">
      <c r="E4" s="7"/>
      <c r="F4" s="7"/>
      <c r="G4" s="7"/>
      <c r="H4" s="8"/>
      <c r="I4" s="9"/>
      <c r="J4" s="9"/>
    </row>
    <row r="5" spans="5:17" ht="12.75" customHeight="1">
      <c r="E5" s="7"/>
      <c r="F5" s="7"/>
      <c r="G5" s="7"/>
      <c r="H5" s="8"/>
      <c r="I5" s="9"/>
      <c r="J5" s="9"/>
      <c r="P5" s="187" t="s">
        <v>95</v>
      </c>
      <c r="Q5" s="187"/>
    </row>
    <row r="6" spans="5:17" ht="15" customHeight="1">
      <c r="E6" s="7"/>
      <c r="F6" s="7"/>
      <c r="G6" s="7"/>
      <c r="H6" s="8"/>
      <c r="I6" s="9"/>
      <c r="J6" s="9"/>
      <c r="O6" s="188"/>
      <c r="P6" s="188"/>
      <c r="Q6" s="188"/>
    </row>
    <row r="7" spans="1:17" s="10" customFormat="1" ht="23.25" customHeight="1">
      <c r="A7" s="189" t="s">
        <v>98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</row>
    <row r="8" spans="1:17" ht="16.5" customHeight="1">
      <c r="A8" s="11"/>
      <c r="B8" s="12"/>
      <c r="C8" s="11"/>
      <c r="D8" s="11"/>
      <c r="E8" s="13"/>
      <c r="F8" s="13"/>
      <c r="G8" s="13"/>
      <c r="H8" s="8"/>
      <c r="I8" s="8"/>
      <c r="J8" s="8"/>
      <c r="K8" s="4"/>
      <c r="L8" s="14"/>
      <c r="M8" s="14"/>
      <c r="N8" s="14"/>
      <c r="O8" s="14"/>
      <c r="P8" s="14"/>
      <c r="Q8" s="106" t="s">
        <v>0</v>
      </c>
    </row>
    <row r="9" spans="1:17" s="17" customFormat="1" ht="22.5" customHeight="1">
      <c r="A9" s="190" t="s">
        <v>1</v>
      </c>
      <c r="B9" s="191" t="s">
        <v>2</v>
      </c>
      <c r="C9" s="190"/>
      <c r="D9" s="192" t="s">
        <v>96</v>
      </c>
      <c r="E9" s="192"/>
      <c r="F9" s="192"/>
      <c r="G9" s="192" t="s">
        <v>97</v>
      </c>
      <c r="H9" s="192"/>
      <c r="I9" s="192"/>
      <c r="J9" s="192"/>
      <c r="K9" s="192"/>
      <c r="L9" s="186" t="s">
        <v>99</v>
      </c>
      <c r="M9" s="186" t="s">
        <v>100</v>
      </c>
      <c r="N9" s="186" t="s">
        <v>101</v>
      </c>
      <c r="O9" s="186" t="s">
        <v>102</v>
      </c>
      <c r="P9" s="186" t="s">
        <v>104</v>
      </c>
      <c r="Q9" s="186" t="s">
        <v>103</v>
      </c>
    </row>
    <row r="10" spans="1:17" s="17" customFormat="1" ht="158.25" customHeight="1">
      <c r="A10" s="190"/>
      <c r="B10" s="191"/>
      <c r="C10" s="190"/>
      <c r="D10" s="15" t="s">
        <v>106</v>
      </c>
      <c r="E10" s="15" t="s">
        <v>107</v>
      </c>
      <c r="F10" s="16" t="s">
        <v>91</v>
      </c>
      <c r="G10" s="15" t="s">
        <v>109</v>
      </c>
      <c r="H10" s="15" t="s">
        <v>108</v>
      </c>
      <c r="I10" s="15" t="s">
        <v>93</v>
      </c>
      <c r="J10" s="16" t="s">
        <v>110</v>
      </c>
      <c r="K10" s="15" t="s">
        <v>94</v>
      </c>
      <c r="L10" s="186"/>
      <c r="M10" s="186"/>
      <c r="N10" s="186"/>
      <c r="O10" s="186"/>
      <c r="P10" s="186"/>
      <c r="Q10" s="186"/>
    </row>
    <row r="11" spans="1:17" s="25" customFormat="1" ht="12" customHeight="1">
      <c r="A11" s="18" t="s">
        <v>3</v>
      </c>
      <c r="B11" s="19">
        <v>2</v>
      </c>
      <c r="C11" s="20" t="s">
        <v>4</v>
      </c>
      <c r="D11" s="20" t="s">
        <v>5</v>
      </c>
      <c r="E11" s="21" t="s">
        <v>6</v>
      </c>
      <c r="F11" s="22">
        <v>6</v>
      </c>
      <c r="G11" s="21" t="s">
        <v>7</v>
      </c>
      <c r="H11" s="21" t="s">
        <v>8</v>
      </c>
      <c r="I11" s="21" t="s">
        <v>9</v>
      </c>
      <c r="J11" s="23" t="s">
        <v>10</v>
      </c>
      <c r="K11" s="24">
        <v>11</v>
      </c>
      <c r="L11" s="24" t="s">
        <v>11</v>
      </c>
      <c r="M11" s="24" t="s">
        <v>12</v>
      </c>
      <c r="N11" s="24" t="s">
        <v>13</v>
      </c>
      <c r="O11" s="24" t="s">
        <v>14</v>
      </c>
      <c r="P11" s="24" t="s">
        <v>15</v>
      </c>
      <c r="Q11" s="24" t="s">
        <v>16</v>
      </c>
    </row>
    <row r="12" spans="1:17" s="109" customFormat="1" ht="30.75" customHeight="1">
      <c r="A12" s="144" t="s">
        <v>17</v>
      </c>
      <c r="B12" s="144" t="s">
        <v>113</v>
      </c>
      <c r="C12" s="144" t="s">
        <v>18</v>
      </c>
      <c r="D12" s="107">
        <f>SUM(D14:D21)</f>
        <v>83612.94</v>
      </c>
      <c r="E12" s="107">
        <f>SUM(E14:E21)</f>
        <v>81227.38</v>
      </c>
      <c r="F12" s="108">
        <f>E12/D12*1</f>
        <v>0.9714690094619326</v>
      </c>
      <c r="G12" s="107">
        <f>SUM(G14:G21)</f>
        <v>84477.15999999999</v>
      </c>
      <c r="H12" s="107">
        <f>SUM(H14:H21)</f>
        <v>99722.87000000001</v>
      </c>
      <c r="I12" s="107">
        <f>SUM(I14:I21)</f>
        <v>99722.87000000001</v>
      </c>
      <c r="J12" s="107">
        <f>I12-H12</f>
        <v>0</v>
      </c>
      <c r="K12" s="107">
        <f>SUM(K14:K21)</f>
        <v>88496.95</v>
      </c>
      <c r="L12" s="107">
        <f>K12-E12</f>
        <v>7269.569999999992</v>
      </c>
      <c r="M12" s="124">
        <f>K12/E12*1</f>
        <v>1.0894965466078064</v>
      </c>
      <c r="N12" s="107">
        <f>K12-G12</f>
        <v>4019.790000000008</v>
      </c>
      <c r="O12" s="124">
        <f>K12/G12*1</f>
        <v>1.0475843411402563</v>
      </c>
      <c r="P12" s="107">
        <f>K12-I12</f>
        <v>-11225.920000000013</v>
      </c>
      <c r="Q12" s="124">
        <f>K12/I12*1</f>
        <v>0.8874288315207934</v>
      </c>
    </row>
    <row r="13" spans="1:17" s="26" customFormat="1" ht="15.75">
      <c r="A13" s="145"/>
      <c r="B13" s="145"/>
      <c r="C13" s="146" t="s">
        <v>19</v>
      </c>
      <c r="D13" s="27">
        <f>D12/D90*1</f>
        <v>0.0886599464627696</v>
      </c>
      <c r="E13" s="27">
        <f>E12/E90*1</f>
        <v>0.08905762568373639</v>
      </c>
      <c r="F13" s="27"/>
      <c r="G13" s="32">
        <f>PRODUCT(G12,1/G90)</f>
        <v>0.10848332136141281</v>
      </c>
      <c r="H13" s="32">
        <f>PRODUCT(H12,1/H90)</f>
        <v>0.11723048435756918</v>
      </c>
      <c r="I13" s="32">
        <f>PRODUCT(I12,1/I90)</f>
        <v>0.11723048435756918</v>
      </c>
      <c r="J13" s="85"/>
      <c r="K13" s="32">
        <f>K12/K90*1</f>
        <v>0.10742621243065112</v>
      </c>
      <c r="L13" s="85"/>
      <c r="M13" s="125"/>
      <c r="N13" s="85"/>
      <c r="O13" s="125"/>
      <c r="P13" s="85"/>
      <c r="Q13" s="125"/>
    </row>
    <row r="14" spans="1:17" s="26" customFormat="1" ht="30" customHeight="1">
      <c r="A14" s="147" t="s">
        <v>17</v>
      </c>
      <c r="B14" s="147" t="s">
        <v>20</v>
      </c>
      <c r="C14" s="148" t="s">
        <v>21</v>
      </c>
      <c r="D14" s="86">
        <v>2364.5</v>
      </c>
      <c r="E14" s="86">
        <v>2364.5</v>
      </c>
      <c r="F14" s="28">
        <f aca="true" t="shared" si="0" ref="F14:F19">E14/D14*1</f>
        <v>1</v>
      </c>
      <c r="G14" s="86">
        <v>2495.25</v>
      </c>
      <c r="H14" s="86">
        <v>2838.05</v>
      </c>
      <c r="I14" s="86">
        <v>2838.05</v>
      </c>
      <c r="J14" s="91">
        <f>SUM(I14,-H14)</f>
        <v>0</v>
      </c>
      <c r="K14" s="86">
        <v>2836.54</v>
      </c>
      <c r="L14" s="91">
        <f>K14-E14</f>
        <v>472.03999999999996</v>
      </c>
      <c r="M14" s="126">
        <f aca="true" t="shared" si="1" ref="M14:M19">K14/E14*1</f>
        <v>1.199636286741383</v>
      </c>
      <c r="N14" s="91">
        <f aca="true" t="shared" si="2" ref="N14:N22">K14-G14</f>
        <v>341.28999999999996</v>
      </c>
      <c r="O14" s="126">
        <f aca="true" t="shared" si="3" ref="O14:O76">K14/G14*1</f>
        <v>1.1367758741609058</v>
      </c>
      <c r="P14" s="91">
        <f aca="true" t="shared" si="4" ref="P14:P22">K14-I14</f>
        <v>-1.5100000000002183</v>
      </c>
      <c r="Q14" s="126">
        <f>K14/I14*1</f>
        <v>0.9994679445393844</v>
      </c>
    </row>
    <row r="15" spans="1:17" s="30" customFormat="1" ht="48" customHeight="1">
      <c r="A15" s="149" t="s">
        <v>17</v>
      </c>
      <c r="B15" s="149" t="s">
        <v>22</v>
      </c>
      <c r="C15" s="148" t="s">
        <v>23</v>
      </c>
      <c r="D15" s="87">
        <v>2708.65</v>
      </c>
      <c r="E15" s="87">
        <v>2593.05</v>
      </c>
      <c r="F15" s="28">
        <f t="shared" si="0"/>
        <v>0.9573219131301571</v>
      </c>
      <c r="G15" s="87">
        <v>2238.48</v>
      </c>
      <c r="H15" s="87">
        <v>2704.84</v>
      </c>
      <c r="I15" s="87">
        <v>2704.84</v>
      </c>
      <c r="J15" s="91">
        <f aca="true" t="shared" si="5" ref="J15:J21">SUM(I15,-H15)</f>
        <v>0</v>
      </c>
      <c r="K15" s="87">
        <v>2697.41</v>
      </c>
      <c r="L15" s="91">
        <f aca="true" t="shared" si="6" ref="L15:L22">K15-E15</f>
        <v>104.35999999999967</v>
      </c>
      <c r="M15" s="126">
        <f t="shared" si="1"/>
        <v>1.0402460423053932</v>
      </c>
      <c r="N15" s="91">
        <f t="shared" si="2"/>
        <v>458.92999999999984</v>
      </c>
      <c r="O15" s="126">
        <f t="shared" si="3"/>
        <v>1.2050185840391694</v>
      </c>
      <c r="P15" s="91">
        <f t="shared" si="4"/>
        <v>-7.430000000000291</v>
      </c>
      <c r="Q15" s="126">
        <f>K15/I15*1</f>
        <v>0.9972530722704485</v>
      </c>
    </row>
    <row r="16" spans="1:17" s="30" customFormat="1" ht="63.75" customHeight="1">
      <c r="A16" s="149" t="s">
        <v>17</v>
      </c>
      <c r="B16" s="149" t="s">
        <v>24</v>
      </c>
      <c r="C16" s="148" t="s">
        <v>25</v>
      </c>
      <c r="D16" s="87">
        <v>56878.95</v>
      </c>
      <c r="E16" s="87">
        <v>56254.19</v>
      </c>
      <c r="F16" s="28">
        <f t="shared" si="0"/>
        <v>0.9890159716380138</v>
      </c>
      <c r="G16" s="87">
        <v>56659.28</v>
      </c>
      <c r="H16" s="87">
        <v>50796.89</v>
      </c>
      <c r="I16" s="87">
        <f>50796.89</f>
        <v>50796.89</v>
      </c>
      <c r="J16" s="91">
        <f t="shared" si="5"/>
        <v>0</v>
      </c>
      <c r="K16" s="87">
        <f>50473.53</f>
        <v>50473.53</v>
      </c>
      <c r="L16" s="91">
        <f t="shared" si="6"/>
        <v>-5780.6600000000035</v>
      </c>
      <c r="M16" s="126">
        <f t="shared" si="1"/>
        <v>0.897240365562103</v>
      </c>
      <c r="N16" s="91">
        <f t="shared" si="2"/>
        <v>-6185.75</v>
      </c>
      <c r="O16" s="126">
        <f t="shared" si="3"/>
        <v>0.8908254746618736</v>
      </c>
      <c r="P16" s="91">
        <f t="shared" si="4"/>
        <v>-323.3600000000006</v>
      </c>
      <c r="Q16" s="126">
        <f aca="true" t="shared" si="7" ref="Q16:Q79">K16/I16*1</f>
        <v>0.9936342559554335</v>
      </c>
    </row>
    <row r="17" spans="1:17" s="30" customFormat="1" ht="15.75">
      <c r="A17" s="149" t="s">
        <v>17</v>
      </c>
      <c r="B17" s="149" t="s">
        <v>26</v>
      </c>
      <c r="C17" s="148" t="s">
        <v>27</v>
      </c>
      <c r="D17" s="87">
        <v>5.21</v>
      </c>
      <c r="E17" s="87">
        <v>5.21</v>
      </c>
      <c r="F17" s="28">
        <f t="shared" si="0"/>
        <v>1</v>
      </c>
      <c r="G17" s="87">
        <v>0</v>
      </c>
      <c r="H17" s="87">
        <v>0</v>
      </c>
      <c r="I17" s="87">
        <v>0</v>
      </c>
      <c r="J17" s="91">
        <f>SUM(I17,-H17)</f>
        <v>0</v>
      </c>
      <c r="K17" s="87">
        <v>0</v>
      </c>
      <c r="L17" s="91">
        <f t="shared" si="6"/>
        <v>-5.21</v>
      </c>
      <c r="M17" s="126">
        <f t="shared" si="1"/>
        <v>0</v>
      </c>
      <c r="N17" s="91">
        <f>K17-G17</f>
        <v>0</v>
      </c>
      <c r="O17" s="126" t="e">
        <f t="shared" si="3"/>
        <v>#DIV/0!</v>
      </c>
      <c r="P17" s="91">
        <f t="shared" si="4"/>
        <v>0</v>
      </c>
      <c r="Q17" s="126" t="e">
        <f>K17/I17*1</f>
        <v>#DIV/0!</v>
      </c>
    </row>
    <row r="18" spans="1:17" s="30" customFormat="1" ht="45" customHeight="1">
      <c r="A18" s="149" t="s">
        <v>17</v>
      </c>
      <c r="B18" s="149" t="s">
        <v>28</v>
      </c>
      <c r="C18" s="148" t="s">
        <v>29</v>
      </c>
      <c r="D18" s="87">
        <v>16348.94</v>
      </c>
      <c r="E18" s="87">
        <v>15514.21</v>
      </c>
      <c r="F18" s="28">
        <f t="shared" si="0"/>
        <v>0.9489428672439925</v>
      </c>
      <c r="G18" s="87">
        <v>16254.42</v>
      </c>
      <c r="H18" s="87">
        <v>17482.07</v>
      </c>
      <c r="I18" s="87">
        <f>2799.12+14682.95</f>
        <v>17482.07</v>
      </c>
      <c r="J18" s="91">
        <f t="shared" si="5"/>
        <v>0</v>
      </c>
      <c r="K18" s="87">
        <f>2528.71+14596.97</f>
        <v>17125.68</v>
      </c>
      <c r="L18" s="91">
        <f t="shared" si="6"/>
        <v>1611.4700000000012</v>
      </c>
      <c r="M18" s="126">
        <f t="shared" si="1"/>
        <v>1.103870580583865</v>
      </c>
      <c r="N18" s="91">
        <f t="shared" si="2"/>
        <v>871.2600000000002</v>
      </c>
      <c r="O18" s="126">
        <f t="shared" si="3"/>
        <v>1.0536014204136475</v>
      </c>
      <c r="P18" s="91">
        <f t="shared" si="4"/>
        <v>-356.3899999999994</v>
      </c>
      <c r="Q18" s="126">
        <f t="shared" si="7"/>
        <v>0.9796139701991813</v>
      </c>
    </row>
    <row r="19" spans="1:17" s="30" customFormat="1" ht="15.75" hidden="1">
      <c r="A19" s="149" t="s">
        <v>17</v>
      </c>
      <c r="B19" s="149" t="s">
        <v>30</v>
      </c>
      <c r="C19" s="148" t="s">
        <v>31</v>
      </c>
      <c r="D19" s="87">
        <v>0</v>
      </c>
      <c r="E19" s="87">
        <v>0</v>
      </c>
      <c r="F19" s="28" t="e">
        <f t="shared" si="0"/>
        <v>#DIV/0!</v>
      </c>
      <c r="G19" s="87"/>
      <c r="H19" s="87"/>
      <c r="I19" s="87"/>
      <c r="J19" s="91">
        <f t="shared" si="5"/>
        <v>0</v>
      </c>
      <c r="K19" s="87"/>
      <c r="L19" s="91">
        <f t="shared" si="6"/>
        <v>0</v>
      </c>
      <c r="M19" s="126" t="e">
        <f t="shared" si="1"/>
        <v>#DIV/0!</v>
      </c>
      <c r="N19" s="91">
        <f t="shared" si="2"/>
        <v>0</v>
      </c>
      <c r="O19" s="126">
        <v>0</v>
      </c>
      <c r="P19" s="91">
        <f t="shared" si="4"/>
        <v>0</v>
      </c>
      <c r="Q19" s="126">
        <v>0</v>
      </c>
    </row>
    <row r="20" spans="1:17" s="30" customFormat="1" ht="15.75">
      <c r="A20" s="149" t="s">
        <v>17</v>
      </c>
      <c r="B20" s="149" t="s">
        <v>32</v>
      </c>
      <c r="C20" s="148" t="s">
        <v>33</v>
      </c>
      <c r="D20" s="87">
        <v>300</v>
      </c>
      <c r="E20" s="87">
        <v>0</v>
      </c>
      <c r="F20" s="28">
        <f>E20/D20*1</f>
        <v>0</v>
      </c>
      <c r="G20" s="87">
        <v>300</v>
      </c>
      <c r="H20" s="87">
        <v>300</v>
      </c>
      <c r="I20" s="87">
        <v>300</v>
      </c>
      <c r="J20" s="91">
        <f t="shared" si="5"/>
        <v>0</v>
      </c>
      <c r="K20" s="87">
        <v>0</v>
      </c>
      <c r="L20" s="91">
        <f t="shared" si="6"/>
        <v>0</v>
      </c>
      <c r="M20" s="126">
        <v>0</v>
      </c>
      <c r="N20" s="91">
        <f t="shared" si="2"/>
        <v>-300</v>
      </c>
      <c r="O20" s="126">
        <f t="shared" si="3"/>
        <v>0</v>
      </c>
      <c r="P20" s="91">
        <f t="shared" si="4"/>
        <v>-300</v>
      </c>
      <c r="Q20" s="126">
        <f>K20/I20*1</f>
        <v>0</v>
      </c>
    </row>
    <row r="21" spans="1:17" s="31" customFormat="1" ht="15" customHeight="1">
      <c r="A21" s="149" t="s">
        <v>17</v>
      </c>
      <c r="B21" s="149" t="s">
        <v>34</v>
      </c>
      <c r="C21" s="148" t="s">
        <v>35</v>
      </c>
      <c r="D21" s="87">
        <v>5006.69</v>
      </c>
      <c r="E21" s="87">
        <v>4496.22</v>
      </c>
      <c r="F21" s="28">
        <f>E21/D21*1</f>
        <v>0.898042419243053</v>
      </c>
      <c r="G21" s="87">
        <v>6529.73</v>
      </c>
      <c r="H21" s="87">
        <v>25601.02</v>
      </c>
      <c r="I21" s="87">
        <f>497.32+910+24131.7+62</f>
        <v>25601.02</v>
      </c>
      <c r="J21" s="91">
        <f t="shared" si="5"/>
        <v>0</v>
      </c>
      <c r="K21" s="87">
        <f>446.42+687.15+38+14192.22</f>
        <v>15363.789999999999</v>
      </c>
      <c r="L21" s="91">
        <f t="shared" si="6"/>
        <v>10867.57</v>
      </c>
      <c r="M21" s="126">
        <f>K21/E21*1</f>
        <v>3.4170458740897907</v>
      </c>
      <c r="N21" s="91">
        <f t="shared" si="2"/>
        <v>8834.06</v>
      </c>
      <c r="O21" s="126">
        <f t="shared" si="3"/>
        <v>2.352898205591962</v>
      </c>
      <c r="P21" s="91">
        <f t="shared" si="4"/>
        <v>-10237.230000000001</v>
      </c>
      <c r="Q21" s="126">
        <f t="shared" si="7"/>
        <v>0.6001241356789689</v>
      </c>
    </row>
    <row r="22" spans="1:17" s="31" customFormat="1" ht="15.75" hidden="1">
      <c r="A22" s="150" t="s">
        <v>20</v>
      </c>
      <c r="B22" s="150"/>
      <c r="C22" s="146" t="s">
        <v>36</v>
      </c>
      <c r="D22" s="88">
        <f>D24</f>
        <v>0</v>
      </c>
      <c r="E22" s="88">
        <f>E24</f>
        <v>0</v>
      </c>
      <c r="F22" s="27"/>
      <c r="G22" s="88">
        <f>G24</f>
        <v>0</v>
      </c>
      <c r="H22" s="88">
        <f>H24</f>
        <v>0</v>
      </c>
      <c r="I22" s="88">
        <f>I24</f>
        <v>0</v>
      </c>
      <c r="J22" s="88">
        <f>J24</f>
        <v>0</v>
      </c>
      <c r="K22" s="88">
        <f>K24</f>
        <v>0</v>
      </c>
      <c r="L22" s="85">
        <f t="shared" si="6"/>
        <v>0</v>
      </c>
      <c r="M22" s="125"/>
      <c r="N22" s="85">
        <f t="shared" si="2"/>
        <v>0</v>
      </c>
      <c r="O22" s="124" t="e">
        <f t="shared" si="3"/>
        <v>#DIV/0!</v>
      </c>
      <c r="P22" s="85">
        <f t="shared" si="4"/>
        <v>0</v>
      </c>
      <c r="Q22" s="126" t="e">
        <f t="shared" si="7"/>
        <v>#DIV/0!</v>
      </c>
    </row>
    <row r="23" spans="1:17" s="31" customFormat="1" ht="15.75" hidden="1">
      <c r="A23" s="150"/>
      <c r="B23" s="150"/>
      <c r="C23" s="146" t="s">
        <v>19</v>
      </c>
      <c r="D23" s="89">
        <f>D22/D90*1</f>
        <v>0</v>
      </c>
      <c r="E23" s="89">
        <f>E22/E90*1</f>
        <v>0</v>
      </c>
      <c r="F23" s="32"/>
      <c r="G23" s="89">
        <f>G22/G90*1</f>
        <v>0</v>
      </c>
      <c r="H23" s="89">
        <f>H22/H90*1</f>
        <v>0</v>
      </c>
      <c r="I23" s="89">
        <f>I22/I90*1</f>
        <v>0</v>
      </c>
      <c r="J23" s="88"/>
      <c r="K23" s="88">
        <f>K22/K90*1</f>
        <v>0</v>
      </c>
      <c r="L23" s="85"/>
      <c r="M23" s="125"/>
      <c r="N23" s="85"/>
      <c r="O23" s="124" t="e">
        <f t="shared" si="3"/>
        <v>#DIV/0!</v>
      </c>
      <c r="P23" s="85"/>
      <c r="Q23" s="126" t="e">
        <f t="shared" si="7"/>
        <v>#DIV/0!</v>
      </c>
    </row>
    <row r="24" spans="1:17" s="31" customFormat="1" ht="15.75" hidden="1">
      <c r="A24" s="149" t="s">
        <v>20</v>
      </c>
      <c r="B24" s="149" t="s">
        <v>24</v>
      </c>
      <c r="C24" s="151" t="s">
        <v>37</v>
      </c>
      <c r="D24" s="87">
        <v>0</v>
      </c>
      <c r="E24" s="87">
        <v>0</v>
      </c>
      <c r="F24" s="28"/>
      <c r="G24" s="87"/>
      <c r="H24" s="87"/>
      <c r="I24" s="87"/>
      <c r="J24" s="91">
        <f>I24-H24</f>
        <v>0</v>
      </c>
      <c r="K24" s="87"/>
      <c r="L24" s="91">
        <f>K24-E24</f>
        <v>0</v>
      </c>
      <c r="M24" s="126"/>
      <c r="N24" s="91">
        <f>K24-G24</f>
        <v>0</v>
      </c>
      <c r="O24" s="124" t="e">
        <f t="shared" si="3"/>
        <v>#DIV/0!</v>
      </c>
      <c r="P24" s="91">
        <f>K24-I24</f>
        <v>0</v>
      </c>
      <c r="Q24" s="126" t="e">
        <f t="shared" si="7"/>
        <v>#DIV/0!</v>
      </c>
    </row>
    <row r="25" spans="1:17" s="110" customFormat="1" ht="30.75" customHeight="1">
      <c r="A25" s="152" t="s">
        <v>22</v>
      </c>
      <c r="B25" s="152" t="s">
        <v>113</v>
      </c>
      <c r="C25" s="153" t="s">
        <v>38</v>
      </c>
      <c r="D25" s="97">
        <f>SUM(D27:D30)</f>
        <v>4200</v>
      </c>
      <c r="E25" s="97">
        <f>SUM(E27:E30)</f>
        <v>3496.93</v>
      </c>
      <c r="F25" s="99">
        <f>E25/D25</f>
        <v>0.8326023809523809</v>
      </c>
      <c r="G25" s="97">
        <f>G28+G29+G30+G27</f>
        <v>4850</v>
      </c>
      <c r="H25" s="97">
        <f>H28+H29+H30+H27</f>
        <v>5150.5</v>
      </c>
      <c r="I25" s="97">
        <f>I28+I29+I30+I27</f>
        <v>5150.5</v>
      </c>
      <c r="J25" s="97">
        <f>J28+J29+J30</f>
        <v>0</v>
      </c>
      <c r="K25" s="97">
        <f>K28+K29+K30+K27</f>
        <v>4857.9</v>
      </c>
      <c r="L25" s="97">
        <f>K25-E25</f>
        <v>1360.9699999999998</v>
      </c>
      <c r="M25" s="128">
        <f>K25/E25*1</f>
        <v>1.3891899466103124</v>
      </c>
      <c r="N25" s="97">
        <f>K25-G25</f>
        <v>7.899999999999636</v>
      </c>
      <c r="O25" s="128">
        <f t="shared" si="3"/>
        <v>1.0016288659793813</v>
      </c>
      <c r="P25" s="97">
        <f>K25-I25</f>
        <v>-292.60000000000036</v>
      </c>
      <c r="Q25" s="130">
        <f t="shared" si="7"/>
        <v>0.9431899815551887</v>
      </c>
    </row>
    <row r="26" spans="1:17" s="33" customFormat="1" ht="15.75">
      <c r="A26" s="150"/>
      <c r="B26" s="150"/>
      <c r="C26" s="146" t="s">
        <v>19</v>
      </c>
      <c r="D26" s="32">
        <f>D25/D90*1</f>
        <v>0.004453518500170337</v>
      </c>
      <c r="E26" s="32">
        <f>E25/E90*1</f>
        <v>0.003834030877054366</v>
      </c>
      <c r="F26" s="32"/>
      <c r="G26" s="32">
        <f>PRODUCT(G25,1/G90)</f>
        <v>0.006228240965994267</v>
      </c>
      <c r="H26" s="32">
        <f>PRODUCT(H25,1/H90)</f>
        <v>0.0060547355855648756</v>
      </c>
      <c r="I26" s="32">
        <f>PRODUCT(I25,1/I90)</f>
        <v>0.0060547355855648756</v>
      </c>
      <c r="J26" s="125"/>
      <c r="K26" s="32">
        <f>PRODUCT(K25,1/K90)</f>
        <v>0.005896991900476344</v>
      </c>
      <c r="L26" s="85"/>
      <c r="M26" s="125"/>
      <c r="N26" s="85"/>
      <c r="O26" s="125"/>
      <c r="P26" s="85"/>
      <c r="Q26" s="126"/>
    </row>
    <row r="27" spans="1:17" s="31" customFormat="1" ht="16.5" customHeight="1">
      <c r="A27" s="147" t="s">
        <v>22</v>
      </c>
      <c r="B27" s="147" t="s">
        <v>20</v>
      </c>
      <c r="C27" s="154" t="s">
        <v>90</v>
      </c>
      <c r="D27" s="90">
        <v>4200</v>
      </c>
      <c r="E27" s="90">
        <v>3496.93</v>
      </c>
      <c r="F27" s="28">
        <f>E27/D27*1</f>
        <v>0.8326023809523809</v>
      </c>
      <c r="G27" s="90">
        <v>4850</v>
      </c>
      <c r="H27" s="90">
        <v>5150.5</v>
      </c>
      <c r="I27" s="90">
        <f>140+5010.5</f>
        <v>5150.5</v>
      </c>
      <c r="J27" s="91">
        <f>I27-H27</f>
        <v>0</v>
      </c>
      <c r="K27" s="90">
        <f>20+4837.9</f>
        <v>4857.9</v>
      </c>
      <c r="L27" s="91"/>
      <c r="M27" s="126"/>
      <c r="N27" s="91"/>
      <c r="O27" s="126">
        <f t="shared" si="3"/>
        <v>1.0016288659793813</v>
      </c>
      <c r="P27" s="91"/>
      <c r="Q27" s="126">
        <f t="shared" si="7"/>
        <v>0.9431899815551887</v>
      </c>
    </row>
    <row r="28" spans="1:17" s="34" customFormat="1" ht="49.5" customHeight="1" hidden="1">
      <c r="A28" s="149" t="s">
        <v>22</v>
      </c>
      <c r="B28" s="149" t="s">
        <v>39</v>
      </c>
      <c r="C28" s="151" t="s">
        <v>40</v>
      </c>
      <c r="D28" s="87"/>
      <c r="E28" s="87"/>
      <c r="F28" s="28" t="e">
        <f>PRODUCT(E28,1/D28)</f>
        <v>#DIV/0!</v>
      </c>
      <c r="G28" s="87"/>
      <c r="H28" s="87"/>
      <c r="I28" s="87"/>
      <c r="J28" s="91">
        <f>I28-H28</f>
        <v>0</v>
      </c>
      <c r="K28" s="87"/>
      <c r="L28" s="91">
        <f>K28-E28</f>
        <v>0</v>
      </c>
      <c r="M28" s="126" t="e">
        <f>K28/E28*1</f>
        <v>#DIV/0!</v>
      </c>
      <c r="N28" s="91">
        <f>K28-G28</f>
        <v>0</v>
      </c>
      <c r="O28" s="125" t="e">
        <f t="shared" si="3"/>
        <v>#DIV/0!</v>
      </c>
      <c r="P28" s="91">
        <f>K28-I28</f>
        <v>0</v>
      </c>
      <c r="Q28" s="126" t="e">
        <f t="shared" si="7"/>
        <v>#DIV/0!</v>
      </c>
    </row>
    <row r="29" spans="1:17" s="34" customFormat="1" ht="18.75" customHeight="1" hidden="1">
      <c r="A29" s="149" t="s">
        <v>22</v>
      </c>
      <c r="B29" s="149" t="s">
        <v>41</v>
      </c>
      <c r="C29" s="151" t="s">
        <v>42</v>
      </c>
      <c r="D29" s="87"/>
      <c r="E29" s="87"/>
      <c r="F29" s="28"/>
      <c r="G29" s="87"/>
      <c r="H29" s="87"/>
      <c r="I29" s="87"/>
      <c r="J29" s="91">
        <f>I29-H29</f>
        <v>0</v>
      </c>
      <c r="K29" s="87"/>
      <c r="L29" s="91">
        <f>K29-E29</f>
        <v>0</v>
      </c>
      <c r="M29" s="126"/>
      <c r="N29" s="91">
        <f>K29-G29</f>
        <v>0</v>
      </c>
      <c r="O29" s="125" t="e">
        <f t="shared" si="3"/>
        <v>#DIV/0!</v>
      </c>
      <c r="P29" s="91">
        <f>K29-I29</f>
        <v>0</v>
      </c>
      <c r="Q29" s="126" t="e">
        <f t="shared" si="7"/>
        <v>#DIV/0!</v>
      </c>
    </row>
    <row r="30" spans="1:17" s="31" customFormat="1" ht="0.75" customHeight="1" hidden="1">
      <c r="A30" s="149" t="s">
        <v>22</v>
      </c>
      <c r="B30" s="149" t="s">
        <v>43</v>
      </c>
      <c r="C30" s="155" t="s">
        <v>44</v>
      </c>
      <c r="D30" s="91">
        <v>0</v>
      </c>
      <c r="E30" s="91">
        <v>0</v>
      </c>
      <c r="F30" s="28" t="e">
        <f>PRODUCT(E30,1/D30)</f>
        <v>#DIV/0!</v>
      </c>
      <c r="G30" s="91">
        <v>0</v>
      </c>
      <c r="H30" s="91"/>
      <c r="I30" s="91"/>
      <c r="J30" s="91">
        <f>I30-H30</f>
        <v>0</v>
      </c>
      <c r="K30" s="91"/>
      <c r="L30" s="91">
        <f>K30-E30</f>
        <v>0</v>
      </c>
      <c r="M30" s="126" t="e">
        <f>K30/E30*1</f>
        <v>#DIV/0!</v>
      </c>
      <c r="N30" s="91">
        <f>K30-G30</f>
        <v>0</v>
      </c>
      <c r="O30" s="125">
        <v>0</v>
      </c>
      <c r="P30" s="91">
        <f>K30-I30</f>
        <v>0</v>
      </c>
      <c r="Q30" s="126">
        <v>0</v>
      </c>
    </row>
    <row r="31" spans="1:17" s="76" customFormat="1" ht="31.5" customHeight="1">
      <c r="A31" s="156" t="s">
        <v>24</v>
      </c>
      <c r="B31" s="156" t="s">
        <v>113</v>
      </c>
      <c r="C31" s="157" t="s">
        <v>45</v>
      </c>
      <c r="D31" s="75">
        <f>D33+D34+D35+D36+D37+D38</f>
        <v>2818.21</v>
      </c>
      <c r="E31" s="75">
        <f>SUM(E33:E38)</f>
        <v>1972.78</v>
      </c>
      <c r="F31" s="74">
        <f>PRODUCT(E31,1/D31)</f>
        <v>0.7000117095603237</v>
      </c>
      <c r="G31" s="75">
        <f>G33+G34+G35+G36+G37+G38</f>
        <v>3340.85</v>
      </c>
      <c r="H31" s="75">
        <f>H33+H34+H35+H36+H37+H38</f>
        <v>4966.59</v>
      </c>
      <c r="I31" s="75">
        <f>I33+I34+I35+I36+I37+I38</f>
        <v>4966.59</v>
      </c>
      <c r="J31" s="75">
        <f>J33+J34+J35+J36+J37+J38</f>
        <v>0</v>
      </c>
      <c r="K31" s="75">
        <f>K33+K34+K35+K36+K37+K38</f>
        <v>2789.74</v>
      </c>
      <c r="L31" s="75">
        <f>K31-E31</f>
        <v>816.9599999999998</v>
      </c>
      <c r="M31" s="131">
        <f>K31/E31*1</f>
        <v>1.4141161203986252</v>
      </c>
      <c r="N31" s="75">
        <f>K31-G31</f>
        <v>-551.1100000000001</v>
      </c>
      <c r="O31" s="131">
        <f t="shared" si="3"/>
        <v>0.8350389870841253</v>
      </c>
      <c r="P31" s="75">
        <f>K31-I31</f>
        <v>-2176.8500000000004</v>
      </c>
      <c r="Q31" s="132">
        <f t="shared" si="7"/>
        <v>0.5617012880064591</v>
      </c>
    </row>
    <row r="32" spans="1:17" s="31" customFormat="1" ht="15.75">
      <c r="A32" s="150"/>
      <c r="B32" s="150"/>
      <c r="C32" s="146" t="s">
        <v>19</v>
      </c>
      <c r="D32" s="32">
        <f>D31/D90*1</f>
        <v>0.0029883215172297724</v>
      </c>
      <c r="E32" s="32">
        <f>E31/E90*1</f>
        <v>0.002162954200866278</v>
      </c>
      <c r="F32" s="126"/>
      <c r="G32" s="32">
        <f>PRODUCT(G31,1/G90)</f>
        <v>0.004290230686854009</v>
      </c>
      <c r="H32" s="32">
        <f>PRODUCT(H31,1/H90)</f>
        <v>0.005838537853006632</v>
      </c>
      <c r="I32" s="32">
        <f>PRODUCT(I31,1/I90)</f>
        <v>0.005838537853006632</v>
      </c>
      <c r="J32" s="125"/>
      <c r="K32" s="32">
        <f>PRODUCT(K31,1/K90)</f>
        <v>0.003386457972464414</v>
      </c>
      <c r="L32" s="85"/>
      <c r="M32" s="125"/>
      <c r="N32" s="85"/>
      <c r="O32" s="125"/>
      <c r="P32" s="85"/>
      <c r="Q32" s="126"/>
    </row>
    <row r="33" spans="1:17" s="31" customFormat="1" ht="17.25" customHeight="1" hidden="1">
      <c r="A33" s="149" t="s">
        <v>24</v>
      </c>
      <c r="B33" s="149" t="s">
        <v>17</v>
      </c>
      <c r="C33" s="148" t="s">
        <v>46</v>
      </c>
      <c r="D33" s="87"/>
      <c r="E33" s="87"/>
      <c r="F33" s="28" t="e">
        <f>PRODUCT(E33,1/D33)</f>
        <v>#DIV/0!</v>
      </c>
      <c r="G33" s="87"/>
      <c r="H33" s="87"/>
      <c r="I33" s="87"/>
      <c r="J33" s="91">
        <f aca="true" t="shared" si="8" ref="J33:J38">I33-H33</f>
        <v>0</v>
      </c>
      <c r="K33" s="87"/>
      <c r="L33" s="91">
        <f aca="true" t="shared" si="9" ref="L33:L39">K33-E33</f>
        <v>0</v>
      </c>
      <c r="M33" s="126" t="e">
        <f aca="true" t="shared" si="10" ref="M33:M39">K33/E33*1</f>
        <v>#DIV/0!</v>
      </c>
      <c r="N33" s="91">
        <f aca="true" t="shared" si="11" ref="N33:N39">K33-G33</f>
        <v>0</v>
      </c>
      <c r="O33" s="125" t="e">
        <f t="shared" si="3"/>
        <v>#DIV/0!</v>
      </c>
      <c r="P33" s="91">
        <f aca="true" t="shared" si="12" ref="P33:P39">K33-I33</f>
        <v>0</v>
      </c>
      <c r="Q33" s="126" t="e">
        <f t="shared" si="7"/>
        <v>#DIV/0!</v>
      </c>
    </row>
    <row r="34" spans="1:17" s="31" customFormat="1" ht="21" customHeight="1" hidden="1">
      <c r="A34" s="149" t="s">
        <v>24</v>
      </c>
      <c r="B34" s="149" t="s">
        <v>30</v>
      </c>
      <c r="C34" s="148" t="s">
        <v>47</v>
      </c>
      <c r="D34" s="87"/>
      <c r="E34" s="87"/>
      <c r="F34" s="28" t="e">
        <f>PRODUCT(E34,1/D34)</f>
        <v>#DIV/0!</v>
      </c>
      <c r="G34" s="87"/>
      <c r="H34" s="87"/>
      <c r="I34" s="87"/>
      <c r="J34" s="91">
        <f t="shared" si="8"/>
        <v>0</v>
      </c>
      <c r="K34" s="87"/>
      <c r="L34" s="91">
        <f t="shared" si="9"/>
        <v>0</v>
      </c>
      <c r="M34" s="126" t="e">
        <f t="shared" si="10"/>
        <v>#DIV/0!</v>
      </c>
      <c r="N34" s="91">
        <f t="shared" si="11"/>
        <v>0</v>
      </c>
      <c r="O34" s="125" t="e">
        <f t="shared" si="3"/>
        <v>#DIV/0!</v>
      </c>
      <c r="P34" s="91">
        <f t="shared" si="12"/>
        <v>0</v>
      </c>
      <c r="Q34" s="126" t="e">
        <f t="shared" si="7"/>
        <v>#DIV/0!</v>
      </c>
    </row>
    <row r="35" spans="1:17" s="31" customFormat="1" ht="18" customHeight="1">
      <c r="A35" s="149" t="s">
        <v>24</v>
      </c>
      <c r="B35" s="147" t="s">
        <v>26</v>
      </c>
      <c r="C35" s="154" t="s">
        <v>105</v>
      </c>
      <c r="D35" s="87">
        <v>0</v>
      </c>
      <c r="E35" s="87">
        <v>0</v>
      </c>
      <c r="F35" s="28"/>
      <c r="G35" s="87">
        <v>1320.3</v>
      </c>
      <c r="H35" s="87">
        <v>1320.3</v>
      </c>
      <c r="I35" s="87">
        <v>1320.3</v>
      </c>
      <c r="J35" s="91">
        <f t="shared" si="8"/>
        <v>0</v>
      </c>
      <c r="K35" s="87">
        <v>0</v>
      </c>
      <c r="L35" s="91">
        <f t="shared" si="9"/>
        <v>0</v>
      </c>
      <c r="M35" s="126" t="e">
        <f>K35/E35*1</f>
        <v>#DIV/0!</v>
      </c>
      <c r="N35" s="91">
        <f t="shared" si="11"/>
        <v>-1320.3</v>
      </c>
      <c r="O35" s="126">
        <f t="shared" si="3"/>
        <v>0</v>
      </c>
      <c r="P35" s="91">
        <f t="shared" si="12"/>
        <v>-1320.3</v>
      </c>
      <c r="Q35" s="126">
        <f t="shared" si="7"/>
        <v>0</v>
      </c>
    </row>
    <row r="36" spans="1:17" s="31" customFormat="1" ht="17.25" customHeight="1">
      <c r="A36" s="149" t="s">
        <v>24</v>
      </c>
      <c r="B36" s="149" t="s">
        <v>39</v>
      </c>
      <c r="C36" s="148" t="s">
        <v>49</v>
      </c>
      <c r="D36" s="87">
        <v>170</v>
      </c>
      <c r="E36" s="87">
        <v>0</v>
      </c>
      <c r="F36" s="28">
        <f>E36/D36*1</f>
        <v>0</v>
      </c>
      <c r="G36" s="87">
        <v>0</v>
      </c>
      <c r="H36" s="87">
        <v>430.6</v>
      </c>
      <c r="I36" s="87">
        <v>430.6</v>
      </c>
      <c r="J36" s="91">
        <f t="shared" si="8"/>
        <v>0</v>
      </c>
      <c r="K36" s="87">
        <v>430.2</v>
      </c>
      <c r="L36" s="91">
        <f t="shared" si="9"/>
        <v>430.2</v>
      </c>
      <c r="M36" s="126" t="e">
        <f>K36/E36*1</f>
        <v>#DIV/0!</v>
      </c>
      <c r="N36" s="91">
        <f t="shared" si="11"/>
        <v>430.2</v>
      </c>
      <c r="O36" s="126" t="e">
        <f t="shared" si="3"/>
        <v>#DIV/0!</v>
      </c>
      <c r="P36" s="91">
        <f t="shared" si="12"/>
        <v>-0.4000000000000341</v>
      </c>
      <c r="Q36" s="126">
        <f t="shared" si="7"/>
        <v>0.9990710636321412</v>
      </c>
    </row>
    <row r="37" spans="1:17" s="31" customFormat="1" ht="0.75" customHeight="1" hidden="1">
      <c r="A37" s="149" t="s">
        <v>24</v>
      </c>
      <c r="B37" s="149" t="s">
        <v>41</v>
      </c>
      <c r="C37" s="148" t="s">
        <v>50</v>
      </c>
      <c r="D37" s="87"/>
      <c r="E37" s="87"/>
      <c r="F37" s="28" t="e">
        <f>PRODUCT(E37,1/D37)</f>
        <v>#DIV/0!</v>
      </c>
      <c r="G37" s="87"/>
      <c r="H37" s="87"/>
      <c r="I37" s="87"/>
      <c r="J37" s="91">
        <f t="shared" si="8"/>
        <v>0</v>
      </c>
      <c r="K37" s="87"/>
      <c r="L37" s="91">
        <f t="shared" si="9"/>
        <v>0</v>
      </c>
      <c r="M37" s="126" t="e">
        <f t="shared" si="10"/>
        <v>#DIV/0!</v>
      </c>
      <c r="N37" s="91">
        <f t="shared" si="11"/>
        <v>0</v>
      </c>
      <c r="O37" s="126" t="e">
        <f t="shared" si="3"/>
        <v>#DIV/0!</v>
      </c>
      <c r="P37" s="91">
        <f t="shared" si="12"/>
        <v>0</v>
      </c>
      <c r="Q37" s="126" t="e">
        <f t="shared" si="7"/>
        <v>#DIV/0!</v>
      </c>
    </row>
    <row r="38" spans="1:17" s="31" customFormat="1" ht="15.75">
      <c r="A38" s="149" t="s">
        <v>24</v>
      </c>
      <c r="B38" s="149" t="s">
        <v>51</v>
      </c>
      <c r="C38" s="148" t="s">
        <v>52</v>
      </c>
      <c r="D38" s="87">
        <v>2648.21</v>
      </c>
      <c r="E38" s="87">
        <v>1972.78</v>
      </c>
      <c r="F38" s="28">
        <f>PRODUCT(E38,1/D38)</f>
        <v>0.7449484746300331</v>
      </c>
      <c r="G38" s="87">
        <v>2020.55</v>
      </c>
      <c r="H38" s="87">
        <v>3215.69</v>
      </c>
      <c r="I38" s="87">
        <f>201.9+2897.79+116</f>
        <v>3215.69</v>
      </c>
      <c r="J38" s="91">
        <f t="shared" si="8"/>
        <v>0</v>
      </c>
      <c r="K38" s="87">
        <f>32.25+2253.49+73.8</f>
        <v>2359.54</v>
      </c>
      <c r="L38" s="91">
        <f t="shared" si="9"/>
        <v>386.76</v>
      </c>
      <c r="M38" s="126">
        <f t="shared" si="10"/>
        <v>1.1960482162227921</v>
      </c>
      <c r="N38" s="91">
        <f t="shared" si="11"/>
        <v>338.99</v>
      </c>
      <c r="O38" s="126">
        <f t="shared" si="3"/>
        <v>1.167771151419168</v>
      </c>
      <c r="P38" s="91">
        <f t="shared" si="12"/>
        <v>-856.1500000000001</v>
      </c>
      <c r="Q38" s="126">
        <f t="shared" si="7"/>
        <v>0.7337585401577889</v>
      </c>
    </row>
    <row r="39" spans="1:17" s="113" customFormat="1" ht="30.75" customHeight="1">
      <c r="A39" s="158" t="s">
        <v>26</v>
      </c>
      <c r="B39" s="158" t="s">
        <v>113</v>
      </c>
      <c r="C39" s="159" t="s">
        <v>53</v>
      </c>
      <c r="D39" s="111">
        <f>SUM(D41:D44)</f>
        <v>60616.72</v>
      </c>
      <c r="E39" s="111">
        <f>SUM(E41:E44)</f>
        <v>57347.969999999994</v>
      </c>
      <c r="F39" s="112">
        <f>PRODUCT(E39,1/D39)</f>
        <v>0.9460751093097746</v>
      </c>
      <c r="G39" s="111">
        <f>G41+G42+G43+G44</f>
        <v>53649.99</v>
      </c>
      <c r="H39" s="111">
        <f>H41+H42+H43+H44</f>
        <v>68787.21</v>
      </c>
      <c r="I39" s="111">
        <f>I41+I42+I43+I44</f>
        <v>68787.21</v>
      </c>
      <c r="J39" s="111">
        <f>J41+J42+J43+J44</f>
        <v>0</v>
      </c>
      <c r="K39" s="111">
        <f>K41+K42+K43+K44</f>
        <v>63110.630000000005</v>
      </c>
      <c r="L39" s="111">
        <f t="shared" si="9"/>
        <v>5762.660000000011</v>
      </c>
      <c r="M39" s="133">
        <f t="shared" si="10"/>
        <v>1.1004858585229784</v>
      </c>
      <c r="N39" s="111">
        <f t="shared" si="11"/>
        <v>9460.640000000007</v>
      </c>
      <c r="O39" s="133">
        <f t="shared" si="3"/>
        <v>1.1763400142292666</v>
      </c>
      <c r="P39" s="111">
        <f t="shared" si="12"/>
        <v>-5676.580000000002</v>
      </c>
      <c r="Q39" s="134">
        <f t="shared" si="7"/>
        <v>0.9174762285023625</v>
      </c>
    </row>
    <row r="40" spans="1:17" s="31" customFormat="1" ht="15.75" customHeight="1">
      <c r="A40" s="150"/>
      <c r="B40" s="150"/>
      <c r="C40" s="146" t="s">
        <v>19</v>
      </c>
      <c r="D40" s="32">
        <f>D39/D90*1</f>
        <v>0.06427563903324886</v>
      </c>
      <c r="E40" s="32">
        <f>E39/E90*1</f>
        <v>0.06287626224041873</v>
      </c>
      <c r="F40" s="126"/>
      <c r="G40" s="32">
        <f>PRODUCT(G39,1/G90)</f>
        <v>0.06889588980271809</v>
      </c>
      <c r="H40" s="32">
        <f>PRODUCT(H39,1/H90)</f>
        <v>0.08086367696703702</v>
      </c>
      <c r="I40" s="32">
        <f>PRODUCT(I39,1/I90)</f>
        <v>0.08086367696703702</v>
      </c>
      <c r="J40" s="125"/>
      <c r="K40" s="32">
        <f>PRODUCT(K39,1/K90)</f>
        <v>0.07660982604499052</v>
      </c>
      <c r="L40" s="85"/>
      <c r="M40" s="125"/>
      <c r="N40" s="85"/>
      <c r="O40" s="126"/>
      <c r="P40" s="85"/>
      <c r="Q40" s="126"/>
    </row>
    <row r="41" spans="1:17" s="31" customFormat="1" ht="15.75">
      <c r="A41" s="149" t="s">
        <v>26</v>
      </c>
      <c r="B41" s="149" t="s">
        <v>17</v>
      </c>
      <c r="C41" s="148" t="s">
        <v>54</v>
      </c>
      <c r="D41" s="87">
        <v>300</v>
      </c>
      <c r="E41" s="87">
        <v>98.2</v>
      </c>
      <c r="F41" s="28">
        <f>E41/D41*1</f>
        <v>0.32733333333333337</v>
      </c>
      <c r="G41" s="87">
        <v>845.02</v>
      </c>
      <c r="H41" s="87">
        <v>2785.02</v>
      </c>
      <c r="I41" s="87">
        <f>2785.02</f>
        <v>2785.02</v>
      </c>
      <c r="J41" s="91">
        <f>I41-H41</f>
        <v>0</v>
      </c>
      <c r="K41" s="87">
        <f>965.8</f>
        <v>965.8</v>
      </c>
      <c r="L41" s="91">
        <f>K41-E41</f>
        <v>867.5999999999999</v>
      </c>
      <c r="M41" s="126">
        <f>K41/E41*1</f>
        <v>9.835030549898166</v>
      </c>
      <c r="N41" s="91">
        <f>K41-G41</f>
        <v>120.77999999999997</v>
      </c>
      <c r="O41" s="126">
        <f t="shared" si="3"/>
        <v>1.142931528247852</v>
      </c>
      <c r="P41" s="91">
        <f>K41-I41</f>
        <v>-1819.22</v>
      </c>
      <c r="Q41" s="126">
        <f t="shared" si="7"/>
        <v>0.3467838651068933</v>
      </c>
    </row>
    <row r="42" spans="1:17" s="31" customFormat="1" ht="15" customHeight="1">
      <c r="A42" s="149" t="s">
        <v>26</v>
      </c>
      <c r="B42" s="149" t="s">
        <v>20</v>
      </c>
      <c r="C42" s="151" t="s">
        <v>55</v>
      </c>
      <c r="D42" s="87">
        <v>60316.72</v>
      </c>
      <c r="E42" s="87">
        <v>57249.77</v>
      </c>
      <c r="F42" s="28">
        <f>PRODUCT(E42,1/D42)</f>
        <v>0.9491525732831626</v>
      </c>
      <c r="G42" s="87">
        <v>52804.97</v>
      </c>
      <c r="H42" s="87">
        <v>66002.19</v>
      </c>
      <c r="I42" s="87">
        <v>66002.19</v>
      </c>
      <c r="J42" s="91">
        <f>I42-H42</f>
        <v>0</v>
      </c>
      <c r="K42" s="87">
        <f>3879.73+848.66+57416.44</f>
        <v>62144.83</v>
      </c>
      <c r="L42" s="91">
        <f>K42-E42</f>
        <v>4895.060000000005</v>
      </c>
      <c r="M42" s="126">
        <f>K42/E42*1</f>
        <v>1.0855035749488602</v>
      </c>
      <c r="N42" s="91">
        <f>K42-G42</f>
        <v>9339.86</v>
      </c>
      <c r="O42" s="126">
        <f t="shared" si="3"/>
        <v>1.1768746388834233</v>
      </c>
      <c r="P42" s="91">
        <f>K42-I42</f>
        <v>-3857.3600000000006</v>
      </c>
      <c r="Q42" s="126">
        <f t="shared" si="7"/>
        <v>0.94155709075714</v>
      </c>
    </row>
    <row r="43" spans="1:17" s="33" customFormat="1" ht="15.75" hidden="1">
      <c r="A43" s="149" t="s">
        <v>26</v>
      </c>
      <c r="B43" s="149" t="s">
        <v>22</v>
      </c>
      <c r="C43" s="151" t="s">
        <v>56</v>
      </c>
      <c r="D43" s="87"/>
      <c r="E43" s="87"/>
      <c r="F43" s="28" t="e">
        <f>PRODUCT(E43,1/D43)</f>
        <v>#DIV/0!</v>
      </c>
      <c r="G43" s="87"/>
      <c r="H43" s="87"/>
      <c r="I43" s="87"/>
      <c r="J43" s="91">
        <f>I43-H43</f>
        <v>0</v>
      </c>
      <c r="K43" s="87"/>
      <c r="L43" s="91">
        <f>K43-E43</f>
        <v>0</v>
      </c>
      <c r="M43" s="126" t="e">
        <f>K43/E43*1</f>
        <v>#DIV/0!</v>
      </c>
      <c r="N43" s="91">
        <f>K43-G43</f>
        <v>0</v>
      </c>
      <c r="O43" s="124" t="e">
        <f t="shared" si="3"/>
        <v>#DIV/0!</v>
      </c>
      <c r="P43" s="91">
        <f>K43-I43</f>
        <v>0</v>
      </c>
      <c r="Q43" s="126" t="e">
        <f t="shared" si="7"/>
        <v>#DIV/0!</v>
      </c>
    </row>
    <row r="44" spans="1:17" s="33" customFormat="1" ht="31.5" hidden="1">
      <c r="A44" s="149" t="s">
        <v>26</v>
      </c>
      <c r="B44" s="149" t="s">
        <v>26</v>
      </c>
      <c r="C44" s="148" t="s">
        <v>57</v>
      </c>
      <c r="D44" s="87"/>
      <c r="E44" s="87"/>
      <c r="F44" s="28" t="e">
        <f>PRODUCT(E44,1/D44)</f>
        <v>#DIV/0!</v>
      </c>
      <c r="G44" s="87"/>
      <c r="H44" s="87"/>
      <c r="I44" s="87"/>
      <c r="J44" s="91">
        <f>I44-H44</f>
        <v>0</v>
      </c>
      <c r="K44" s="87"/>
      <c r="L44" s="91">
        <f>K44-E44</f>
        <v>0</v>
      </c>
      <c r="M44" s="126" t="e">
        <f>K44/E44*1</f>
        <v>#DIV/0!</v>
      </c>
      <c r="N44" s="91">
        <f>K44-G44</f>
        <v>0</v>
      </c>
      <c r="O44" s="124" t="e">
        <f t="shared" si="3"/>
        <v>#DIV/0!</v>
      </c>
      <c r="P44" s="91">
        <f>K44-I44</f>
        <v>0</v>
      </c>
      <c r="Q44" s="126" t="e">
        <f t="shared" si="7"/>
        <v>#DIV/0!</v>
      </c>
    </row>
    <row r="45" spans="1:17" s="115" customFormat="1" ht="30.75" customHeight="1">
      <c r="A45" s="160" t="s">
        <v>28</v>
      </c>
      <c r="B45" s="160" t="s">
        <v>113</v>
      </c>
      <c r="C45" s="161" t="s">
        <v>58</v>
      </c>
      <c r="D45" s="183">
        <f>D47</f>
        <v>40</v>
      </c>
      <c r="E45" s="183">
        <f>E47</f>
        <v>0</v>
      </c>
      <c r="F45" s="184">
        <f>PRODUCT(E45,1/D45)</f>
        <v>0</v>
      </c>
      <c r="G45" s="183">
        <f>G47</f>
        <v>290</v>
      </c>
      <c r="H45" s="114">
        <f>H47</f>
        <v>40</v>
      </c>
      <c r="I45" s="114">
        <f>I47</f>
        <v>40</v>
      </c>
      <c r="J45" s="114">
        <f>J47</f>
        <v>0</v>
      </c>
      <c r="K45" s="114">
        <f>K47</f>
        <v>0</v>
      </c>
      <c r="L45" s="114">
        <f>K45-E45</f>
        <v>0</v>
      </c>
      <c r="M45" s="135">
        <v>0</v>
      </c>
      <c r="N45" s="114">
        <f>K45-G45</f>
        <v>-290</v>
      </c>
      <c r="O45" s="135">
        <f t="shared" si="3"/>
        <v>0</v>
      </c>
      <c r="P45" s="114">
        <f>K45-I45</f>
        <v>-40</v>
      </c>
      <c r="Q45" s="136">
        <f t="shared" si="7"/>
        <v>0</v>
      </c>
    </row>
    <row r="46" spans="1:17" s="26" customFormat="1" ht="15.75">
      <c r="A46" s="150"/>
      <c r="B46" s="150"/>
      <c r="C46" s="146" t="s">
        <v>19</v>
      </c>
      <c r="D46" s="32">
        <f>D45/D90*1</f>
        <v>4.241446190638415E-05</v>
      </c>
      <c r="E46" s="32">
        <f>E45/E90*1</f>
        <v>0</v>
      </c>
      <c r="F46" s="126"/>
      <c r="G46" s="32">
        <f>PRODUCT(G45,1/G90)</f>
        <v>0.00037241028456460565</v>
      </c>
      <c r="H46" s="32">
        <f>PRODUCT(H45,1/H90)</f>
        <v>4.702250721727891E-05</v>
      </c>
      <c r="I46" s="32">
        <f>PRODUCT(I45,1/I90)</f>
        <v>4.702250721727891E-05</v>
      </c>
      <c r="J46" s="125"/>
      <c r="K46" s="32">
        <f>PRODUCT(K45,1/K90)</f>
        <v>0</v>
      </c>
      <c r="L46" s="85"/>
      <c r="M46" s="125"/>
      <c r="N46" s="85"/>
      <c r="O46" s="125"/>
      <c r="P46" s="85"/>
      <c r="Q46" s="126"/>
    </row>
    <row r="47" spans="1:17" s="26" customFormat="1" ht="15.75">
      <c r="A47" s="149" t="s">
        <v>28</v>
      </c>
      <c r="B47" s="149" t="s">
        <v>26</v>
      </c>
      <c r="C47" s="148" t="s">
        <v>59</v>
      </c>
      <c r="D47" s="87">
        <v>40</v>
      </c>
      <c r="E47" s="87">
        <v>0</v>
      </c>
      <c r="F47" s="29">
        <f>E47/D47*1</f>
        <v>0</v>
      </c>
      <c r="G47" s="87">
        <v>290</v>
      </c>
      <c r="H47" s="87">
        <v>40</v>
      </c>
      <c r="I47" s="87">
        <v>40</v>
      </c>
      <c r="J47" s="91">
        <f>SUM(I47,-H47)</f>
        <v>0</v>
      </c>
      <c r="K47" s="87">
        <v>0</v>
      </c>
      <c r="L47" s="91">
        <f>K47-E47</f>
        <v>0</v>
      </c>
      <c r="M47" s="126" t="e">
        <f>K47/E47*1</f>
        <v>#DIV/0!</v>
      </c>
      <c r="N47" s="91">
        <f>K47-G47</f>
        <v>-290</v>
      </c>
      <c r="O47" s="126">
        <f t="shared" si="3"/>
        <v>0</v>
      </c>
      <c r="P47" s="91">
        <f>K47-I47</f>
        <v>-40</v>
      </c>
      <c r="Q47" s="126">
        <f t="shared" si="7"/>
        <v>0</v>
      </c>
    </row>
    <row r="48" spans="1:17" s="78" customFormat="1" ht="30.75" customHeight="1">
      <c r="A48" s="162" t="s">
        <v>30</v>
      </c>
      <c r="B48" s="162" t="s">
        <v>113</v>
      </c>
      <c r="C48" s="163" t="s">
        <v>60</v>
      </c>
      <c r="D48" s="77">
        <f>SUM(D50:D54)</f>
        <v>679420.42</v>
      </c>
      <c r="E48" s="77">
        <f>SUM(E50:E54)</f>
        <v>664754.76</v>
      </c>
      <c r="F48" s="116">
        <f>PRODUCT(E48,1/D48)</f>
        <v>0.9784144550733402</v>
      </c>
      <c r="G48" s="77">
        <f>G50+G51+G52+G53+G54</f>
        <v>544635.7300000001</v>
      </c>
      <c r="H48" s="77">
        <f>H50+H51+H52+H53+H54</f>
        <v>574832.36</v>
      </c>
      <c r="I48" s="77">
        <f>I50+I51+I52+I53+I54</f>
        <v>574832.36</v>
      </c>
      <c r="J48" s="77">
        <f>J50+J51+J52+J53+J54</f>
        <v>0</v>
      </c>
      <c r="K48" s="77">
        <f>K50+K51+K52+K53+K54</f>
        <v>572639.45</v>
      </c>
      <c r="L48" s="77">
        <f>K48-E48</f>
        <v>-92115.31000000006</v>
      </c>
      <c r="M48" s="137">
        <f>K48/E48*1</f>
        <v>0.8614296345918605</v>
      </c>
      <c r="N48" s="77">
        <f>K48-G48</f>
        <v>28003.719999999856</v>
      </c>
      <c r="O48" s="137">
        <f t="shared" si="3"/>
        <v>1.0514173390717496</v>
      </c>
      <c r="P48" s="77">
        <f>K48-I48</f>
        <v>-2192.9100000000326</v>
      </c>
      <c r="Q48" s="138">
        <f t="shared" si="7"/>
        <v>0.9961851312615733</v>
      </c>
    </row>
    <row r="49" spans="1:46" s="36" customFormat="1" ht="15.75">
      <c r="A49" s="150"/>
      <c r="B49" s="150"/>
      <c r="C49" s="146" t="s">
        <v>19</v>
      </c>
      <c r="D49" s="32">
        <f>D48/D90*1</f>
        <v>0.7204312880627382</v>
      </c>
      <c r="E49" s="32">
        <f>E48/E90*1</f>
        <v>0.7288365153173969</v>
      </c>
      <c r="F49" s="126"/>
      <c r="G49" s="32">
        <f>PRODUCT(G48,1/G90)</f>
        <v>0.6994067144598336</v>
      </c>
      <c r="H49" s="32">
        <f>PRODUCT(H48,1/H90)</f>
        <v>0.6757514699206367</v>
      </c>
      <c r="I49" s="32">
        <f>PRODUCT(I48,1/I90)</f>
        <v>0.6757514699206367</v>
      </c>
      <c r="J49" s="125"/>
      <c r="K49" s="32">
        <f>PRODUCT(K48,1/K90)</f>
        <v>0.6951255066063996</v>
      </c>
      <c r="L49" s="85"/>
      <c r="M49" s="125"/>
      <c r="N49" s="85"/>
      <c r="O49" s="125"/>
      <c r="P49" s="85"/>
      <c r="Q49" s="126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</row>
    <row r="50" spans="1:47" s="38" customFormat="1" ht="20.25" customHeight="1">
      <c r="A50" s="149" t="s">
        <v>30</v>
      </c>
      <c r="B50" s="149" t="s">
        <v>17</v>
      </c>
      <c r="C50" s="148" t="s">
        <v>61</v>
      </c>
      <c r="D50" s="91">
        <v>247408.04</v>
      </c>
      <c r="E50" s="91">
        <v>240820.33</v>
      </c>
      <c r="F50" s="28">
        <f aca="true" t="shared" si="13" ref="F50:F55">PRODUCT(E50,1/D50)</f>
        <v>0.9733730965250764</v>
      </c>
      <c r="G50" s="91">
        <v>149891.04</v>
      </c>
      <c r="H50" s="86">
        <v>157778.14</v>
      </c>
      <c r="I50" s="86">
        <f>157778.14</f>
        <v>157778.14</v>
      </c>
      <c r="J50" s="91">
        <f>I50-H50</f>
        <v>0</v>
      </c>
      <c r="K50" s="91">
        <f>157273.65</f>
        <v>157273.65</v>
      </c>
      <c r="L50" s="91">
        <f aca="true" t="shared" si="14" ref="L50:L55">K50-E50</f>
        <v>-83546.68</v>
      </c>
      <c r="M50" s="126">
        <f aca="true" t="shared" si="15" ref="M50:M55">K50/E50*1</f>
        <v>0.6530746386735705</v>
      </c>
      <c r="N50" s="91">
        <f aca="true" t="shared" si="16" ref="N50:N55">K50-G50</f>
        <v>7382.609999999986</v>
      </c>
      <c r="O50" s="126">
        <f t="shared" si="3"/>
        <v>1.0492531775081417</v>
      </c>
      <c r="P50" s="91">
        <f aca="true" t="shared" si="17" ref="P50:P55">K50-I50</f>
        <v>-504.4900000000198</v>
      </c>
      <c r="Q50" s="126">
        <f t="shared" si="7"/>
        <v>0.9968025355096719</v>
      </c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7"/>
    </row>
    <row r="51" spans="1:17" s="34" customFormat="1" ht="18" customHeight="1">
      <c r="A51" s="149" t="s">
        <v>30</v>
      </c>
      <c r="B51" s="149" t="s">
        <v>20</v>
      </c>
      <c r="C51" s="148" t="s">
        <v>62</v>
      </c>
      <c r="D51" s="87">
        <v>405121.59</v>
      </c>
      <c r="E51" s="87">
        <v>398261.94</v>
      </c>
      <c r="F51" s="28">
        <f t="shared" si="13"/>
        <v>0.9830676760525154</v>
      </c>
      <c r="G51" s="87">
        <v>368489.15</v>
      </c>
      <c r="H51" s="87">
        <v>388710.39</v>
      </c>
      <c r="I51" s="87">
        <f>29774.12+358936.27</f>
        <v>388710.39</v>
      </c>
      <c r="J51" s="91">
        <f>I51-H51</f>
        <v>0</v>
      </c>
      <c r="K51" s="87">
        <f>29518.41+357987.9</f>
        <v>387506.31</v>
      </c>
      <c r="L51" s="91">
        <f t="shared" si="14"/>
        <v>-10755.630000000005</v>
      </c>
      <c r="M51" s="126">
        <f t="shared" si="15"/>
        <v>0.972993578045645</v>
      </c>
      <c r="N51" s="91">
        <f t="shared" si="16"/>
        <v>19017.159999999974</v>
      </c>
      <c r="O51" s="126">
        <f t="shared" si="3"/>
        <v>1.0516084666264935</v>
      </c>
      <c r="P51" s="91">
        <f t="shared" si="17"/>
        <v>-1204.0800000000163</v>
      </c>
      <c r="Q51" s="126">
        <f t="shared" si="7"/>
        <v>0.9969023724835345</v>
      </c>
    </row>
    <row r="52" spans="1:17" s="26" customFormat="1" ht="33.75" customHeight="1" hidden="1">
      <c r="A52" s="149" t="s">
        <v>30</v>
      </c>
      <c r="B52" s="149" t="s">
        <v>26</v>
      </c>
      <c r="C52" s="148" t="s">
        <v>63</v>
      </c>
      <c r="D52" s="87"/>
      <c r="E52" s="87"/>
      <c r="F52" s="28" t="e">
        <f t="shared" si="13"/>
        <v>#DIV/0!</v>
      </c>
      <c r="G52" s="87"/>
      <c r="H52" s="87"/>
      <c r="I52" s="87"/>
      <c r="J52" s="91">
        <f>I52-H52</f>
        <v>0</v>
      </c>
      <c r="K52" s="87"/>
      <c r="L52" s="91">
        <f t="shared" si="14"/>
        <v>0</v>
      </c>
      <c r="M52" s="126" t="e">
        <f t="shared" si="15"/>
        <v>#DIV/0!</v>
      </c>
      <c r="N52" s="91">
        <f t="shared" si="16"/>
        <v>0</v>
      </c>
      <c r="O52" s="126" t="e">
        <f t="shared" si="3"/>
        <v>#DIV/0!</v>
      </c>
      <c r="P52" s="91">
        <f t="shared" si="17"/>
        <v>0</v>
      </c>
      <c r="Q52" s="126" t="e">
        <f t="shared" si="7"/>
        <v>#DIV/0!</v>
      </c>
    </row>
    <row r="53" spans="1:17" s="34" customFormat="1" ht="15.75">
      <c r="A53" s="149" t="s">
        <v>30</v>
      </c>
      <c r="B53" s="149" t="s">
        <v>30</v>
      </c>
      <c r="C53" s="148" t="s">
        <v>64</v>
      </c>
      <c r="D53" s="87">
        <v>2156.8</v>
      </c>
      <c r="E53" s="87">
        <v>2156.41</v>
      </c>
      <c r="F53" s="28">
        <f t="shared" si="13"/>
        <v>0.9998191765578633</v>
      </c>
      <c r="G53" s="87">
        <v>597.2</v>
      </c>
      <c r="H53" s="87">
        <v>2007.1</v>
      </c>
      <c r="I53" s="87">
        <f>275.5+1731.6</f>
        <v>2007.1</v>
      </c>
      <c r="J53" s="91">
        <f>I53-H53</f>
        <v>0</v>
      </c>
      <c r="K53" s="87">
        <f>239.53+1731.6</f>
        <v>1971.1299999999999</v>
      </c>
      <c r="L53" s="91">
        <f t="shared" si="14"/>
        <v>-185.27999999999997</v>
      </c>
      <c r="M53" s="126">
        <f t="shared" si="15"/>
        <v>0.9140794190344137</v>
      </c>
      <c r="N53" s="91">
        <f t="shared" si="16"/>
        <v>1373.9299999999998</v>
      </c>
      <c r="O53" s="126">
        <f t="shared" si="3"/>
        <v>3.300619557937039</v>
      </c>
      <c r="P53" s="91">
        <f t="shared" si="17"/>
        <v>-35.97000000000003</v>
      </c>
      <c r="Q53" s="126">
        <f t="shared" si="7"/>
        <v>0.9820786208958199</v>
      </c>
    </row>
    <row r="54" spans="1:17" s="34" customFormat="1" ht="15.75">
      <c r="A54" s="149" t="s">
        <v>30</v>
      </c>
      <c r="B54" s="149" t="s">
        <v>39</v>
      </c>
      <c r="C54" s="148" t="s">
        <v>65</v>
      </c>
      <c r="D54" s="87">
        <v>24733.99</v>
      </c>
      <c r="E54" s="87">
        <v>23516.08</v>
      </c>
      <c r="F54" s="28">
        <f>PRODUCT(E54,1/D54)</f>
        <v>0.9507596631194563</v>
      </c>
      <c r="G54" s="87">
        <v>25658.34</v>
      </c>
      <c r="H54" s="87">
        <v>26336.73</v>
      </c>
      <c r="I54" s="87">
        <v>26336.73</v>
      </c>
      <c r="J54" s="91">
        <f>I54-H54</f>
        <v>0</v>
      </c>
      <c r="K54" s="87">
        <v>25888.36</v>
      </c>
      <c r="L54" s="91">
        <f t="shared" si="14"/>
        <v>2372.279999999999</v>
      </c>
      <c r="M54" s="126">
        <f t="shared" si="15"/>
        <v>1.1008790580743049</v>
      </c>
      <c r="N54" s="91">
        <f t="shared" si="16"/>
        <v>230.02000000000044</v>
      </c>
      <c r="O54" s="126">
        <f t="shared" si="3"/>
        <v>1.008964726478798</v>
      </c>
      <c r="P54" s="91">
        <f t="shared" si="17"/>
        <v>-448.369999999999</v>
      </c>
      <c r="Q54" s="126">
        <f t="shared" si="7"/>
        <v>0.9829754870859063</v>
      </c>
    </row>
    <row r="55" spans="1:17" s="119" customFormat="1" ht="30.75" customHeight="1">
      <c r="A55" s="164" t="s">
        <v>48</v>
      </c>
      <c r="B55" s="164" t="s">
        <v>113</v>
      </c>
      <c r="C55" s="165" t="s">
        <v>111</v>
      </c>
      <c r="D55" s="117">
        <f>SUM(D57:D58)</f>
        <v>35817.3</v>
      </c>
      <c r="E55" s="117">
        <f>SUM(E57:E58)</f>
        <v>35434.14</v>
      </c>
      <c r="F55" s="118">
        <f t="shared" si="13"/>
        <v>0.9893023762260136</v>
      </c>
      <c r="G55" s="117">
        <f>G57+G58</f>
        <v>30383.2</v>
      </c>
      <c r="H55" s="117">
        <f>H57+H58</f>
        <v>32789.96</v>
      </c>
      <c r="I55" s="117">
        <f>I57+I58</f>
        <v>32789.96</v>
      </c>
      <c r="J55" s="117">
        <f>J57+J58</f>
        <v>0</v>
      </c>
      <c r="K55" s="117">
        <f>K57+K58</f>
        <v>31163.690000000002</v>
      </c>
      <c r="L55" s="117">
        <f t="shared" si="14"/>
        <v>-4270.449999999997</v>
      </c>
      <c r="M55" s="139">
        <f t="shared" si="15"/>
        <v>0.8794820475394635</v>
      </c>
      <c r="N55" s="117">
        <f t="shared" si="16"/>
        <v>780.4900000000016</v>
      </c>
      <c r="O55" s="139">
        <f t="shared" si="3"/>
        <v>1.025688209273546</v>
      </c>
      <c r="P55" s="117">
        <f t="shared" si="17"/>
        <v>-1626.2699999999968</v>
      </c>
      <c r="Q55" s="140">
        <f t="shared" si="7"/>
        <v>0.9504034161676319</v>
      </c>
    </row>
    <row r="56" spans="1:17" s="34" customFormat="1" ht="15.75">
      <c r="A56" s="150"/>
      <c r="B56" s="150"/>
      <c r="C56" s="146" t="s">
        <v>19</v>
      </c>
      <c r="D56" s="32">
        <f>D55/D90*1</f>
        <v>0.037979287660988334</v>
      </c>
      <c r="E56" s="32">
        <f>E55/E90*1</f>
        <v>0.03884995892450441</v>
      </c>
      <c r="F56" s="126"/>
      <c r="G56" s="32">
        <f>PRODUCT(G55,1/G90)</f>
        <v>0.03901729709649423</v>
      </c>
      <c r="H56" s="32">
        <f>PRODUCT(H55,1/H90)</f>
        <v>0.038546653268857166</v>
      </c>
      <c r="I56" s="32">
        <f>PRODUCT(I55,1/I90)</f>
        <v>0.038546653268857166</v>
      </c>
      <c r="J56" s="125"/>
      <c r="K56" s="32">
        <f>PRODUCT(K55,1/K90)</f>
        <v>0.03782952047571084</v>
      </c>
      <c r="L56" s="85"/>
      <c r="M56" s="125"/>
      <c r="N56" s="85"/>
      <c r="O56" s="125"/>
      <c r="P56" s="85"/>
      <c r="Q56" s="126"/>
    </row>
    <row r="57" spans="1:17" s="34" customFormat="1" ht="15.75">
      <c r="A57" s="149" t="s">
        <v>48</v>
      </c>
      <c r="B57" s="149" t="s">
        <v>17</v>
      </c>
      <c r="C57" s="166" t="s">
        <v>66</v>
      </c>
      <c r="D57" s="87">
        <v>24567.5</v>
      </c>
      <c r="E57" s="87">
        <v>24233.77</v>
      </c>
      <c r="F57" s="28">
        <f>PRODUCT(E57,1/D57)</f>
        <v>0.9864157932227537</v>
      </c>
      <c r="G57" s="87">
        <v>20960.2</v>
      </c>
      <c r="H57" s="87">
        <v>22390.06</v>
      </c>
      <c r="I57" s="87">
        <f>21390.06+1000</f>
        <v>22390.06</v>
      </c>
      <c r="J57" s="91">
        <f>I57-H57</f>
        <v>0</v>
      </c>
      <c r="K57" s="87">
        <v>20777.81</v>
      </c>
      <c r="L57" s="91">
        <f>K57-E57</f>
        <v>-3455.959999999999</v>
      </c>
      <c r="M57" s="126">
        <f>K57/E57*1</f>
        <v>0.8573907402768947</v>
      </c>
      <c r="N57" s="91">
        <f>K57-G57</f>
        <v>-182.38999999999942</v>
      </c>
      <c r="O57" s="126">
        <f t="shared" si="3"/>
        <v>0.9912982700546751</v>
      </c>
      <c r="P57" s="91">
        <f>K57-I57</f>
        <v>-1612.25</v>
      </c>
      <c r="Q57" s="126">
        <f t="shared" si="7"/>
        <v>0.9279926002878063</v>
      </c>
    </row>
    <row r="58" spans="1:17" s="26" customFormat="1" ht="15" customHeight="1">
      <c r="A58" s="149" t="s">
        <v>48</v>
      </c>
      <c r="B58" s="149" t="s">
        <v>24</v>
      </c>
      <c r="C58" s="166" t="s">
        <v>67</v>
      </c>
      <c r="D58" s="87">
        <v>11249.8</v>
      </c>
      <c r="E58" s="87">
        <v>11200.37</v>
      </c>
      <c r="F58" s="28">
        <f>PRODUCT(E58,1/D58)</f>
        <v>0.9956061441092287</v>
      </c>
      <c r="G58" s="87">
        <v>9423</v>
      </c>
      <c r="H58" s="87">
        <v>10399.9</v>
      </c>
      <c r="I58" s="87">
        <f>10399.9</f>
        <v>10399.9</v>
      </c>
      <c r="J58" s="91">
        <f>I58-H58</f>
        <v>0</v>
      </c>
      <c r="K58" s="87">
        <v>10385.88</v>
      </c>
      <c r="L58" s="91">
        <f>K58-E58</f>
        <v>-814.4900000000016</v>
      </c>
      <c r="M58" s="126">
        <f>K58/E58*1</f>
        <v>0.9272800809258979</v>
      </c>
      <c r="N58" s="91">
        <f>K58-G58</f>
        <v>962.8799999999992</v>
      </c>
      <c r="O58" s="126">
        <f t="shared" si="3"/>
        <v>1.1021840178287168</v>
      </c>
      <c r="P58" s="91">
        <f>K58-I58</f>
        <v>-14.020000000000437</v>
      </c>
      <c r="Q58" s="126">
        <f t="shared" si="7"/>
        <v>0.9986519101145203</v>
      </c>
    </row>
    <row r="59" spans="1:17" s="81" customFormat="1" ht="15.75" hidden="1">
      <c r="A59" s="167" t="s">
        <v>39</v>
      </c>
      <c r="B59" s="167"/>
      <c r="C59" s="168" t="s">
        <v>68</v>
      </c>
      <c r="D59" s="79">
        <f>D61+D62+D63+D64+D65</f>
        <v>0</v>
      </c>
      <c r="E59" s="79">
        <f>E61+E62+E63+E64+E65</f>
        <v>0</v>
      </c>
      <c r="F59" s="80" t="e">
        <f>PRODUCT(E59,1/D59)</f>
        <v>#DIV/0!</v>
      </c>
      <c r="G59" s="79">
        <f>G61+G62+G63+G64+G65</f>
        <v>0</v>
      </c>
      <c r="H59" s="79">
        <f>H61+H62+H63+H64+H65</f>
        <v>0</v>
      </c>
      <c r="I59" s="79">
        <f>I61+I62+I63+I64+I65</f>
        <v>0</v>
      </c>
      <c r="J59" s="79">
        <f>J61+J62+J63+J64+J65</f>
        <v>0</v>
      </c>
      <c r="K59" s="79">
        <f>K61+K62+K63+K64+K65</f>
        <v>0</v>
      </c>
      <c r="L59" s="79">
        <f>K59-E59</f>
        <v>0</v>
      </c>
      <c r="M59" s="129" t="e">
        <f>K59/E59*1</f>
        <v>#DIV/0!</v>
      </c>
      <c r="N59" s="79">
        <f>K59-G59</f>
        <v>0</v>
      </c>
      <c r="O59" s="129">
        <v>0</v>
      </c>
      <c r="P59" s="79">
        <f>K59-I59</f>
        <v>0</v>
      </c>
      <c r="Q59" s="141">
        <v>0</v>
      </c>
    </row>
    <row r="60" spans="1:17" s="34" customFormat="1" ht="15.75" hidden="1">
      <c r="A60" s="150"/>
      <c r="B60" s="150"/>
      <c r="C60" s="146" t="s">
        <v>19</v>
      </c>
      <c r="D60" s="89">
        <f>D59/D90*1</f>
        <v>0</v>
      </c>
      <c r="E60" s="89">
        <f>E59/E90*1</f>
        <v>0</v>
      </c>
      <c r="F60" s="29"/>
      <c r="G60" s="89">
        <f>PRODUCT(G59,1/G90)</f>
        <v>0</v>
      </c>
      <c r="H60" s="89">
        <f>PRODUCT(H59,1/H90)</f>
        <v>0</v>
      </c>
      <c r="I60" s="89">
        <f>PRODUCT(I59,1/I90)</f>
        <v>0</v>
      </c>
      <c r="J60" s="85"/>
      <c r="K60" s="89">
        <f>PRODUCT(K59,1/K90)</f>
        <v>0</v>
      </c>
      <c r="L60" s="85"/>
      <c r="M60" s="125"/>
      <c r="N60" s="85"/>
      <c r="O60" s="125"/>
      <c r="P60" s="85"/>
      <c r="Q60" s="126"/>
    </row>
    <row r="61" spans="1:17" s="31" customFormat="1" ht="15.75" hidden="1">
      <c r="A61" s="149" t="s">
        <v>39</v>
      </c>
      <c r="B61" s="149" t="s">
        <v>17</v>
      </c>
      <c r="C61" s="166" t="s">
        <v>69</v>
      </c>
      <c r="D61" s="87"/>
      <c r="E61" s="87"/>
      <c r="F61" s="28" t="e">
        <f aca="true" t="shared" si="18" ref="F61:F66">PRODUCT(E61,1/D61)</f>
        <v>#DIV/0!</v>
      </c>
      <c r="G61" s="87"/>
      <c r="H61" s="87"/>
      <c r="I61" s="87">
        <v>0</v>
      </c>
      <c r="J61" s="91">
        <f>I61-H61</f>
        <v>0</v>
      </c>
      <c r="K61" s="87">
        <v>0</v>
      </c>
      <c r="L61" s="91">
        <f aca="true" t="shared" si="19" ref="L61:L66">K61-E61</f>
        <v>0</v>
      </c>
      <c r="M61" s="126" t="e">
        <f aca="true" t="shared" si="20" ref="M61:M66">K61/E61*1</f>
        <v>#DIV/0!</v>
      </c>
      <c r="N61" s="91">
        <f aca="true" t="shared" si="21" ref="N61:N66">K61-G61</f>
        <v>0</v>
      </c>
      <c r="O61" s="125">
        <v>0</v>
      </c>
      <c r="P61" s="91">
        <f aca="true" t="shared" si="22" ref="P61:P66">K61-I61</f>
        <v>0</v>
      </c>
      <c r="Q61" s="126">
        <v>0</v>
      </c>
    </row>
    <row r="62" spans="1:17" s="31" customFormat="1" ht="27.75" customHeight="1" hidden="1">
      <c r="A62" s="149" t="s">
        <v>39</v>
      </c>
      <c r="B62" s="149" t="s">
        <v>20</v>
      </c>
      <c r="C62" s="166" t="s">
        <v>70</v>
      </c>
      <c r="D62" s="87"/>
      <c r="E62" s="87"/>
      <c r="F62" s="28" t="e">
        <f t="shared" si="18"/>
        <v>#DIV/0!</v>
      </c>
      <c r="G62" s="87"/>
      <c r="H62" s="87"/>
      <c r="I62" s="87">
        <v>0</v>
      </c>
      <c r="J62" s="91">
        <f>I62-H62</f>
        <v>0</v>
      </c>
      <c r="K62" s="87">
        <v>0</v>
      </c>
      <c r="L62" s="91">
        <f t="shared" si="19"/>
        <v>0</v>
      </c>
      <c r="M62" s="126" t="e">
        <f t="shared" si="20"/>
        <v>#DIV/0!</v>
      </c>
      <c r="N62" s="91">
        <f t="shared" si="21"/>
        <v>0</v>
      </c>
      <c r="O62" s="125">
        <v>0</v>
      </c>
      <c r="P62" s="91">
        <f t="shared" si="22"/>
        <v>0</v>
      </c>
      <c r="Q62" s="126">
        <v>0</v>
      </c>
    </row>
    <row r="63" spans="1:17" s="31" customFormat="1" ht="31.5" hidden="1">
      <c r="A63" s="149" t="s">
        <v>39</v>
      </c>
      <c r="B63" s="149" t="s">
        <v>22</v>
      </c>
      <c r="C63" s="166" t="s">
        <v>71</v>
      </c>
      <c r="D63" s="87"/>
      <c r="E63" s="87"/>
      <c r="F63" s="28" t="e">
        <f t="shared" si="18"/>
        <v>#DIV/0!</v>
      </c>
      <c r="G63" s="87"/>
      <c r="H63" s="87"/>
      <c r="I63" s="87">
        <v>0</v>
      </c>
      <c r="J63" s="91">
        <f>I63-H63</f>
        <v>0</v>
      </c>
      <c r="K63" s="87">
        <v>0</v>
      </c>
      <c r="L63" s="91">
        <f t="shared" si="19"/>
        <v>0</v>
      </c>
      <c r="M63" s="126" t="e">
        <f t="shared" si="20"/>
        <v>#DIV/0!</v>
      </c>
      <c r="N63" s="91">
        <f t="shared" si="21"/>
        <v>0</v>
      </c>
      <c r="O63" s="125">
        <v>0</v>
      </c>
      <c r="P63" s="91">
        <f t="shared" si="22"/>
        <v>0</v>
      </c>
      <c r="Q63" s="126">
        <v>0</v>
      </c>
    </row>
    <row r="64" spans="1:17" s="31" customFormat="1" ht="15.75" hidden="1">
      <c r="A64" s="149" t="s">
        <v>39</v>
      </c>
      <c r="B64" s="149" t="s">
        <v>24</v>
      </c>
      <c r="C64" s="166" t="s">
        <v>72</v>
      </c>
      <c r="D64" s="87"/>
      <c r="E64" s="87"/>
      <c r="F64" s="28" t="e">
        <f t="shared" si="18"/>
        <v>#DIV/0!</v>
      </c>
      <c r="G64" s="87"/>
      <c r="H64" s="87"/>
      <c r="I64" s="87">
        <v>0</v>
      </c>
      <c r="J64" s="91">
        <f>I64-H64</f>
        <v>0</v>
      </c>
      <c r="K64" s="87">
        <v>0</v>
      </c>
      <c r="L64" s="91">
        <f t="shared" si="19"/>
        <v>0</v>
      </c>
      <c r="M64" s="126" t="e">
        <f t="shared" si="20"/>
        <v>#DIV/0!</v>
      </c>
      <c r="N64" s="91">
        <f t="shared" si="21"/>
        <v>0</v>
      </c>
      <c r="O64" s="125">
        <v>0</v>
      </c>
      <c r="P64" s="91">
        <f t="shared" si="22"/>
        <v>0</v>
      </c>
      <c r="Q64" s="126">
        <v>0</v>
      </c>
    </row>
    <row r="65" spans="1:17" s="31" customFormat="1" ht="15" customHeight="1" hidden="1">
      <c r="A65" s="149" t="s">
        <v>39</v>
      </c>
      <c r="B65" s="149" t="s">
        <v>39</v>
      </c>
      <c r="C65" s="166" t="s">
        <v>73</v>
      </c>
      <c r="D65" s="87"/>
      <c r="E65" s="87"/>
      <c r="F65" s="28" t="e">
        <f t="shared" si="18"/>
        <v>#DIV/0!</v>
      </c>
      <c r="G65" s="87"/>
      <c r="H65" s="87"/>
      <c r="I65" s="87">
        <v>0</v>
      </c>
      <c r="J65" s="91">
        <f>I65-H65</f>
        <v>0</v>
      </c>
      <c r="K65" s="87">
        <v>0</v>
      </c>
      <c r="L65" s="91">
        <f t="shared" si="19"/>
        <v>0</v>
      </c>
      <c r="M65" s="126" t="e">
        <f t="shared" si="20"/>
        <v>#DIV/0!</v>
      </c>
      <c r="N65" s="91">
        <f t="shared" si="21"/>
        <v>0</v>
      </c>
      <c r="O65" s="125">
        <v>0</v>
      </c>
      <c r="P65" s="91">
        <f t="shared" si="22"/>
        <v>0</v>
      </c>
      <c r="Q65" s="126">
        <v>0</v>
      </c>
    </row>
    <row r="66" spans="1:17" s="84" customFormat="1" ht="30.75" customHeight="1">
      <c r="A66" s="169" t="s">
        <v>41</v>
      </c>
      <c r="B66" s="169" t="s">
        <v>113</v>
      </c>
      <c r="C66" s="170" t="s">
        <v>74</v>
      </c>
      <c r="D66" s="82">
        <f>D68+D69+D70+D71+D72</f>
        <v>40137.369999999995</v>
      </c>
      <c r="E66" s="82">
        <f>SUM(E68:E72)</f>
        <v>37005</v>
      </c>
      <c r="F66" s="83">
        <f t="shared" si="18"/>
        <v>0.9219587631177629</v>
      </c>
      <c r="G66" s="82">
        <f>G68+G69+G70+G71+G72</f>
        <v>35644.97</v>
      </c>
      <c r="H66" s="82">
        <f>H68+H69+H70+H71+H72</f>
        <v>37472.43</v>
      </c>
      <c r="I66" s="82">
        <f>I68+I69+I70+I71+I72</f>
        <v>37472.43</v>
      </c>
      <c r="J66" s="82">
        <f>J68+J69+J70+J71+J72</f>
        <v>0</v>
      </c>
      <c r="K66" s="82">
        <f>K68+K69+K70+K71+K72</f>
        <v>36969.6</v>
      </c>
      <c r="L66" s="82">
        <f t="shared" si="19"/>
        <v>-35.400000000001455</v>
      </c>
      <c r="M66" s="127">
        <f t="shared" si="20"/>
        <v>0.9990433725172274</v>
      </c>
      <c r="N66" s="82">
        <f t="shared" si="21"/>
        <v>1324.6299999999974</v>
      </c>
      <c r="O66" s="127">
        <f t="shared" si="3"/>
        <v>1.0371617650400602</v>
      </c>
      <c r="P66" s="82">
        <f t="shared" si="22"/>
        <v>-502.83000000000175</v>
      </c>
      <c r="Q66" s="142">
        <f t="shared" si="7"/>
        <v>0.9865813345971958</v>
      </c>
    </row>
    <row r="67" spans="1:17" s="31" customFormat="1" ht="16.5" customHeight="1">
      <c r="A67" s="150"/>
      <c r="B67" s="150"/>
      <c r="C67" s="146" t="s">
        <v>19</v>
      </c>
      <c r="D67" s="32">
        <f>D66/D90*1</f>
        <v>0.04256012377218615</v>
      </c>
      <c r="E67" s="32">
        <f>E66/E90*1</f>
        <v>0.04057224840228338</v>
      </c>
      <c r="F67" s="126"/>
      <c r="G67" s="32">
        <f>PRODUCT(G66,1/G90)</f>
        <v>0.04577432214136838</v>
      </c>
      <c r="H67" s="32">
        <f>PRODUCT(H66,1/H90)</f>
        <v>0.04405119025309947</v>
      </c>
      <c r="I67" s="32">
        <f>PRODUCT(I66,1/I90)</f>
        <v>0.04405119025309947</v>
      </c>
      <c r="J67" s="125"/>
      <c r="K67" s="32">
        <f>PRODUCT(K66,1/K90)</f>
        <v>0.04487729919591805</v>
      </c>
      <c r="L67" s="91"/>
      <c r="M67" s="126"/>
      <c r="N67" s="91"/>
      <c r="O67" s="125"/>
      <c r="P67" s="91"/>
      <c r="Q67" s="126"/>
    </row>
    <row r="68" spans="1:17" s="31" customFormat="1" ht="15" customHeight="1">
      <c r="A68" s="149" t="s">
        <v>41</v>
      </c>
      <c r="B68" s="149" t="s">
        <v>17</v>
      </c>
      <c r="C68" s="166" t="s">
        <v>75</v>
      </c>
      <c r="D68" s="87">
        <v>5664.31</v>
      </c>
      <c r="E68" s="87">
        <v>5664.18</v>
      </c>
      <c r="F68" s="28">
        <f>PRODUCT(E68,1/D68)</f>
        <v>0.9999770492787294</v>
      </c>
      <c r="G68" s="87">
        <v>5678.81</v>
      </c>
      <c r="H68" s="87">
        <v>6782.81</v>
      </c>
      <c r="I68" s="87">
        <f>121.35+6661.46</f>
        <v>6782.81</v>
      </c>
      <c r="J68" s="91">
        <f>I68-H68</f>
        <v>0</v>
      </c>
      <c r="K68" s="87">
        <f>121.35+6648.53</f>
        <v>6769.88</v>
      </c>
      <c r="L68" s="91">
        <f aca="true" t="shared" si="23" ref="L68:L73">K68-E68</f>
        <v>1105.6999999999998</v>
      </c>
      <c r="M68" s="126">
        <f aca="true" t="shared" si="24" ref="M68:M73">K68/E68*1</f>
        <v>1.1952091917982832</v>
      </c>
      <c r="N68" s="91">
        <f aca="true" t="shared" si="25" ref="N68:N73">K68-G68</f>
        <v>1091.0699999999997</v>
      </c>
      <c r="O68" s="126">
        <f t="shared" si="3"/>
        <v>1.1921300413290812</v>
      </c>
      <c r="P68" s="91">
        <f aca="true" t="shared" si="26" ref="P68:P73">K68-I68</f>
        <v>-12.930000000000291</v>
      </c>
      <c r="Q68" s="126">
        <f t="shared" si="7"/>
        <v>0.9980937104238509</v>
      </c>
    </row>
    <row r="69" spans="1:17" s="31" customFormat="1" ht="22.5" customHeight="1" hidden="1">
      <c r="A69" s="149" t="s">
        <v>41</v>
      </c>
      <c r="B69" s="149" t="s">
        <v>20</v>
      </c>
      <c r="C69" s="166" t="s">
        <v>76</v>
      </c>
      <c r="D69" s="87"/>
      <c r="E69" s="87"/>
      <c r="F69" s="28" t="e">
        <f>PRODUCT(E69,1/D69)</f>
        <v>#DIV/0!</v>
      </c>
      <c r="G69" s="87"/>
      <c r="H69" s="87"/>
      <c r="I69" s="87"/>
      <c r="J69" s="91">
        <f>I69-H69</f>
        <v>0</v>
      </c>
      <c r="K69" s="87"/>
      <c r="L69" s="91">
        <f t="shared" si="23"/>
        <v>0</v>
      </c>
      <c r="M69" s="126" t="e">
        <f t="shared" si="24"/>
        <v>#DIV/0!</v>
      </c>
      <c r="N69" s="91">
        <f t="shared" si="25"/>
        <v>0</v>
      </c>
      <c r="O69" s="126" t="e">
        <f t="shared" si="3"/>
        <v>#DIV/0!</v>
      </c>
      <c r="P69" s="91">
        <f t="shared" si="26"/>
        <v>0</v>
      </c>
      <c r="Q69" s="126" t="e">
        <f t="shared" si="7"/>
        <v>#DIV/0!</v>
      </c>
    </row>
    <row r="70" spans="1:17" s="33" customFormat="1" ht="14.25" customHeight="1">
      <c r="A70" s="149" t="s">
        <v>41</v>
      </c>
      <c r="B70" s="149" t="s">
        <v>22</v>
      </c>
      <c r="C70" s="166" t="s">
        <v>77</v>
      </c>
      <c r="D70" s="87">
        <v>31541</v>
      </c>
      <c r="E70" s="87">
        <v>28785.41</v>
      </c>
      <c r="F70" s="28">
        <f>PRODUCT(E70,1/D70)</f>
        <v>0.9126346659902983</v>
      </c>
      <c r="G70" s="87">
        <v>26924.7</v>
      </c>
      <c r="H70" s="87">
        <v>27899.16</v>
      </c>
      <c r="I70" s="87">
        <f>22205.4+5693.76</f>
        <v>27899.160000000003</v>
      </c>
      <c r="J70" s="91">
        <f>I70-H70</f>
        <v>0</v>
      </c>
      <c r="K70" s="87">
        <f>22205.12+5478.98</f>
        <v>27684.1</v>
      </c>
      <c r="L70" s="91">
        <f t="shared" si="23"/>
        <v>-1101.3100000000013</v>
      </c>
      <c r="M70" s="126">
        <f t="shared" si="24"/>
        <v>0.9617406873829485</v>
      </c>
      <c r="N70" s="91">
        <f t="shared" si="25"/>
        <v>759.3999999999978</v>
      </c>
      <c r="O70" s="126">
        <f t="shared" si="3"/>
        <v>1.0282045853807098</v>
      </c>
      <c r="P70" s="91">
        <f t="shared" si="26"/>
        <v>-215.06000000000495</v>
      </c>
      <c r="Q70" s="126">
        <f t="shared" si="7"/>
        <v>0.9922915241892586</v>
      </c>
    </row>
    <row r="71" spans="1:17" s="33" customFormat="1" ht="15.75" hidden="1">
      <c r="A71" s="149" t="s">
        <v>41</v>
      </c>
      <c r="B71" s="149" t="s">
        <v>24</v>
      </c>
      <c r="C71" s="166" t="s">
        <v>78</v>
      </c>
      <c r="D71" s="87"/>
      <c r="E71" s="87"/>
      <c r="F71" s="28" t="e">
        <f>PRODUCT(E71,1/D71)</f>
        <v>#DIV/0!</v>
      </c>
      <c r="G71" s="87"/>
      <c r="H71" s="87"/>
      <c r="I71" s="87"/>
      <c r="J71" s="91">
        <f>I71-H71</f>
        <v>0</v>
      </c>
      <c r="K71" s="87"/>
      <c r="L71" s="91">
        <f t="shared" si="23"/>
        <v>0</v>
      </c>
      <c r="M71" s="126" t="e">
        <f t="shared" si="24"/>
        <v>#DIV/0!</v>
      </c>
      <c r="N71" s="91">
        <f t="shared" si="25"/>
        <v>0</v>
      </c>
      <c r="O71" s="126">
        <v>0</v>
      </c>
      <c r="P71" s="91">
        <f t="shared" si="26"/>
        <v>0</v>
      </c>
      <c r="Q71" s="126">
        <v>0</v>
      </c>
    </row>
    <row r="72" spans="1:17" s="34" customFormat="1" ht="15.75">
      <c r="A72" s="149" t="s">
        <v>41</v>
      </c>
      <c r="B72" s="149" t="s">
        <v>28</v>
      </c>
      <c r="C72" s="166" t="s">
        <v>79</v>
      </c>
      <c r="D72" s="87">
        <v>2932.06</v>
      </c>
      <c r="E72" s="87">
        <v>2555.41</v>
      </c>
      <c r="F72" s="28">
        <f>PRODUCT(E72,1/D72)</f>
        <v>0.8715408279503147</v>
      </c>
      <c r="G72" s="87">
        <v>3041.46</v>
      </c>
      <c r="H72" s="87">
        <v>2790.46</v>
      </c>
      <c r="I72" s="87">
        <f>76+1691.46+1023</f>
        <v>2790.46</v>
      </c>
      <c r="J72" s="91">
        <f>I72-H72</f>
        <v>0</v>
      </c>
      <c r="K72" s="87">
        <f>43.24+1525.38+947</f>
        <v>2515.62</v>
      </c>
      <c r="L72" s="91">
        <f t="shared" si="23"/>
        <v>-39.789999999999964</v>
      </c>
      <c r="M72" s="126">
        <f t="shared" si="24"/>
        <v>0.9844291131364439</v>
      </c>
      <c r="N72" s="91">
        <f t="shared" si="25"/>
        <v>-525.8400000000001</v>
      </c>
      <c r="O72" s="126">
        <f t="shared" si="3"/>
        <v>0.8271093487995896</v>
      </c>
      <c r="P72" s="91">
        <f t="shared" si="26"/>
        <v>-274.84000000000015</v>
      </c>
      <c r="Q72" s="126">
        <f t="shared" si="7"/>
        <v>0.9015072783698744</v>
      </c>
    </row>
    <row r="73" spans="1:17" s="122" customFormat="1" ht="30.75" customHeight="1">
      <c r="A73" s="144" t="s">
        <v>32</v>
      </c>
      <c r="B73" s="144" t="s">
        <v>113</v>
      </c>
      <c r="C73" s="171" t="s">
        <v>80</v>
      </c>
      <c r="D73" s="120">
        <f>D75+D76+D77+D78</f>
        <v>1003.9</v>
      </c>
      <c r="E73" s="120">
        <f>E75+E76+E77+E78</f>
        <v>518.18</v>
      </c>
      <c r="F73" s="121">
        <f>E73/D73*1</f>
        <v>0.5161669488992927</v>
      </c>
      <c r="G73" s="120">
        <f>G75+G76+G77+G78</f>
        <v>1097.1</v>
      </c>
      <c r="H73" s="120">
        <f>H75+H76+H77+H78</f>
        <v>2205.47</v>
      </c>
      <c r="I73" s="120">
        <f>I75+I76+I77+I78</f>
        <v>2205.47</v>
      </c>
      <c r="J73" s="120">
        <f>J75+J76+J77+J78</f>
        <v>0</v>
      </c>
      <c r="K73" s="120">
        <f>K75+K76+K77+K78</f>
        <v>1151.75</v>
      </c>
      <c r="L73" s="107">
        <f t="shared" si="23"/>
        <v>633.57</v>
      </c>
      <c r="M73" s="124">
        <f t="shared" si="24"/>
        <v>2.222683237485044</v>
      </c>
      <c r="N73" s="107">
        <f t="shared" si="25"/>
        <v>54.65000000000009</v>
      </c>
      <c r="O73" s="124">
        <f t="shared" si="3"/>
        <v>1.0498131437425942</v>
      </c>
      <c r="P73" s="107">
        <f t="shared" si="26"/>
        <v>-1053.7199999999998</v>
      </c>
      <c r="Q73" s="143">
        <f t="shared" si="7"/>
        <v>0.5222242877935316</v>
      </c>
    </row>
    <row r="74" spans="1:17" s="34" customFormat="1" ht="15.75">
      <c r="A74" s="150"/>
      <c r="B74" s="150"/>
      <c r="C74" s="172" t="s">
        <v>19</v>
      </c>
      <c r="D74" s="185">
        <f>D73/D90*1</f>
        <v>0.0010644969576954764</v>
      </c>
      <c r="E74" s="185">
        <f>E73/E90*1</f>
        <v>0.0005681320815320957</v>
      </c>
      <c r="F74" s="32"/>
      <c r="G74" s="32">
        <f>PRODUCT(G73,1/G90)</f>
        <v>0.0014088666317097545</v>
      </c>
      <c r="H74" s="32">
        <f>PRODUCT(H73,1/H90)</f>
        <v>0.0025926682248123027</v>
      </c>
      <c r="I74" s="32">
        <f>PRODUCT(I73,1/I90)</f>
        <v>0.0025926682248123027</v>
      </c>
      <c r="J74" s="125"/>
      <c r="K74" s="32">
        <f>PRODUCT(K73,1/K90)</f>
        <v>0.0013981062643063115</v>
      </c>
      <c r="L74" s="85"/>
      <c r="M74" s="125"/>
      <c r="N74" s="85"/>
      <c r="O74" s="125"/>
      <c r="P74" s="85"/>
      <c r="Q74" s="126"/>
    </row>
    <row r="75" spans="1:17" s="34" customFormat="1" ht="15.75">
      <c r="A75" s="149" t="s">
        <v>32</v>
      </c>
      <c r="B75" s="149" t="s">
        <v>17</v>
      </c>
      <c r="C75" s="166" t="s">
        <v>81</v>
      </c>
      <c r="D75" s="87">
        <v>1003.9</v>
      </c>
      <c r="E75" s="87">
        <v>518.18</v>
      </c>
      <c r="F75" s="28">
        <f>E75/D75*1</f>
        <v>0.5161669488992927</v>
      </c>
      <c r="G75" s="87">
        <v>1097.1</v>
      </c>
      <c r="H75" s="87">
        <v>2205.47</v>
      </c>
      <c r="I75" s="87">
        <f>1332.3+873.17</f>
        <v>2205.47</v>
      </c>
      <c r="J75" s="91">
        <f>I75-H75</f>
        <v>0</v>
      </c>
      <c r="K75" s="87">
        <f>343.65+808.1</f>
        <v>1151.75</v>
      </c>
      <c r="L75" s="91">
        <f>K75-E75</f>
        <v>633.57</v>
      </c>
      <c r="M75" s="126">
        <f>K75/E75*1</f>
        <v>2.222683237485044</v>
      </c>
      <c r="N75" s="91">
        <f>K75-G75</f>
        <v>54.65000000000009</v>
      </c>
      <c r="O75" s="126">
        <f t="shared" si="3"/>
        <v>1.0498131437425942</v>
      </c>
      <c r="P75" s="91">
        <f>K75-I75</f>
        <v>-1053.7199999999998</v>
      </c>
      <c r="Q75" s="126">
        <f t="shared" si="7"/>
        <v>0.5222242877935316</v>
      </c>
    </row>
    <row r="76" spans="1:17" s="34" customFormat="1" ht="15.75" hidden="1">
      <c r="A76" s="149" t="s">
        <v>32</v>
      </c>
      <c r="B76" s="149" t="s">
        <v>20</v>
      </c>
      <c r="C76" s="166" t="s">
        <v>82</v>
      </c>
      <c r="D76" s="87"/>
      <c r="E76" s="87"/>
      <c r="F76" s="28" t="e">
        <f>E76/D76*1</f>
        <v>#DIV/0!</v>
      </c>
      <c r="G76" s="87"/>
      <c r="H76" s="87"/>
      <c r="I76" s="87"/>
      <c r="J76" s="91">
        <f>I76-H76</f>
        <v>0</v>
      </c>
      <c r="K76" s="87"/>
      <c r="L76" s="91">
        <f>K76-E76</f>
        <v>0</v>
      </c>
      <c r="M76" s="126" t="e">
        <f>K76/E76*1</f>
        <v>#DIV/0!</v>
      </c>
      <c r="N76" s="91">
        <f>K76-G76</f>
        <v>0</v>
      </c>
      <c r="O76" s="124" t="e">
        <f t="shared" si="3"/>
        <v>#DIV/0!</v>
      </c>
      <c r="P76" s="91">
        <f>K76-I76</f>
        <v>0</v>
      </c>
      <c r="Q76" s="126" t="e">
        <f t="shared" si="7"/>
        <v>#DIV/0!</v>
      </c>
    </row>
    <row r="77" spans="1:17" s="26" customFormat="1" ht="15.75" hidden="1">
      <c r="A77" s="149" t="s">
        <v>32</v>
      </c>
      <c r="B77" s="149" t="s">
        <v>22</v>
      </c>
      <c r="C77" s="166" t="s">
        <v>83</v>
      </c>
      <c r="D77" s="87"/>
      <c r="E77" s="87"/>
      <c r="F77" s="28" t="e">
        <f>E77/D77*1</f>
        <v>#DIV/0!</v>
      </c>
      <c r="G77" s="87"/>
      <c r="H77" s="87"/>
      <c r="I77" s="87"/>
      <c r="J77" s="91">
        <f>I77-H77</f>
        <v>0</v>
      </c>
      <c r="K77" s="87"/>
      <c r="L77" s="91">
        <f>K77-E77</f>
        <v>0</v>
      </c>
      <c r="M77" s="126" t="e">
        <f>K77/E77*1</f>
        <v>#DIV/0!</v>
      </c>
      <c r="N77" s="91">
        <f>K77-G77</f>
        <v>0</v>
      </c>
      <c r="O77" s="124" t="e">
        <f aca="true" t="shared" si="27" ref="O77:O90">K77/G77*1</f>
        <v>#DIV/0!</v>
      </c>
      <c r="P77" s="91">
        <f>K77-I77</f>
        <v>0</v>
      </c>
      <c r="Q77" s="126" t="e">
        <f t="shared" si="7"/>
        <v>#DIV/0!</v>
      </c>
    </row>
    <row r="78" spans="1:17" s="26" customFormat="1" ht="31.5" hidden="1">
      <c r="A78" s="149" t="s">
        <v>32</v>
      </c>
      <c r="B78" s="149" t="s">
        <v>26</v>
      </c>
      <c r="C78" s="166" t="s">
        <v>84</v>
      </c>
      <c r="D78" s="87"/>
      <c r="E78" s="87"/>
      <c r="F78" s="28" t="e">
        <f>E78/D78*1</f>
        <v>#DIV/0!</v>
      </c>
      <c r="G78" s="87"/>
      <c r="H78" s="87"/>
      <c r="I78" s="87"/>
      <c r="J78" s="91">
        <f>I78-H78</f>
        <v>0</v>
      </c>
      <c r="K78" s="87"/>
      <c r="L78" s="91">
        <f>K78-E78</f>
        <v>0</v>
      </c>
      <c r="M78" s="126" t="e">
        <f>K78/E78*1</f>
        <v>#DIV/0!</v>
      </c>
      <c r="N78" s="91">
        <f>K78-G78</f>
        <v>0</v>
      </c>
      <c r="O78" s="124" t="e">
        <f t="shared" si="27"/>
        <v>#DIV/0!</v>
      </c>
      <c r="P78" s="91">
        <f>K78-I78</f>
        <v>0</v>
      </c>
      <c r="Q78" s="126" t="e">
        <f t="shared" si="7"/>
        <v>#DIV/0!</v>
      </c>
    </row>
    <row r="79" spans="1:17" s="34" customFormat="1" ht="15.75" hidden="1">
      <c r="A79" s="150" t="s">
        <v>51</v>
      </c>
      <c r="B79" s="150"/>
      <c r="C79" s="172" t="s">
        <v>85</v>
      </c>
      <c r="D79" s="92">
        <f>D81+D82</f>
        <v>0</v>
      </c>
      <c r="E79" s="92">
        <f>E81+E82</f>
        <v>0</v>
      </c>
      <c r="F79" s="27" t="e">
        <f>E79/D79*1</f>
        <v>#DIV/0!</v>
      </c>
      <c r="G79" s="92">
        <f>G81+G82</f>
        <v>0</v>
      </c>
      <c r="H79" s="92">
        <f>H81+H82</f>
        <v>0</v>
      </c>
      <c r="I79" s="92">
        <f>I81+I82</f>
        <v>0</v>
      </c>
      <c r="J79" s="92">
        <f>J81+J82</f>
        <v>0</v>
      </c>
      <c r="K79" s="92">
        <f>K81+K82</f>
        <v>0</v>
      </c>
      <c r="L79" s="85">
        <f>K79-E79</f>
        <v>0</v>
      </c>
      <c r="M79" s="125" t="e">
        <f>K79/E79*1</f>
        <v>#DIV/0!</v>
      </c>
      <c r="N79" s="85">
        <f>K79-G79</f>
        <v>0</v>
      </c>
      <c r="O79" s="124" t="e">
        <f t="shared" si="27"/>
        <v>#DIV/0!</v>
      </c>
      <c r="P79" s="85">
        <f>K79-I79</f>
        <v>0</v>
      </c>
      <c r="Q79" s="126" t="e">
        <f t="shared" si="7"/>
        <v>#DIV/0!</v>
      </c>
    </row>
    <row r="80" spans="1:17" s="34" customFormat="1" ht="15.75" hidden="1">
      <c r="A80" s="150"/>
      <c r="B80" s="150"/>
      <c r="C80" s="172" t="s">
        <v>19</v>
      </c>
      <c r="D80" s="92">
        <f>D79/D90*1</f>
        <v>0</v>
      </c>
      <c r="E80" s="92">
        <f>E79/E90*1</f>
        <v>0</v>
      </c>
      <c r="F80" s="27"/>
      <c r="G80" s="89">
        <f>PRODUCT(G79,1/G90)</f>
        <v>0</v>
      </c>
      <c r="H80" s="89">
        <f>PRODUCT(H79,1/H90)</f>
        <v>0</v>
      </c>
      <c r="I80" s="89">
        <f>PRODUCT(I79,1/I90)</f>
        <v>0</v>
      </c>
      <c r="J80" s="85"/>
      <c r="K80" s="89">
        <f>PRODUCT(K79,1/K90)</f>
        <v>0</v>
      </c>
      <c r="L80" s="85"/>
      <c r="M80" s="125"/>
      <c r="N80" s="85"/>
      <c r="O80" s="124" t="e">
        <f t="shared" si="27"/>
        <v>#DIV/0!</v>
      </c>
      <c r="P80" s="85"/>
      <c r="Q80" s="126" t="e">
        <f aca="true" t="shared" si="28" ref="Q80:Q90">K80/I80*1</f>
        <v>#DIV/0!</v>
      </c>
    </row>
    <row r="81" spans="1:17" s="34" customFormat="1" ht="15.75" hidden="1">
      <c r="A81" s="149" t="s">
        <v>51</v>
      </c>
      <c r="B81" s="149" t="s">
        <v>17</v>
      </c>
      <c r="C81" s="166" t="s">
        <v>86</v>
      </c>
      <c r="D81" s="86"/>
      <c r="E81" s="86"/>
      <c r="F81" s="28" t="e">
        <f>E81/D81*1</f>
        <v>#DIV/0!</v>
      </c>
      <c r="G81" s="90"/>
      <c r="H81" s="90"/>
      <c r="I81" s="90"/>
      <c r="J81" s="91">
        <v>0</v>
      </c>
      <c r="K81" s="90"/>
      <c r="L81" s="91">
        <f>K81-E81</f>
        <v>0</v>
      </c>
      <c r="M81" s="126" t="e">
        <f>K81/E81*1</f>
        <v>#DIV/0!</v>
      </c>
      <c r="N81" s="91">
        <f>K81-G81</f>
        <v>0</v>
      </c>
      <c r="O81" s="124" t="e">
        <f t="shared" si="27"/>
        <v>#DIV/0!</v>
      </c>
      <c r="P81" s="91">
        <f>K81-I81</f>
        <v>0</v>
      </c>
      <c r="Q81" s="126" t="e">
        <f t="shared" si="28"/>
        <v>#DIV/0!</v>
      </c>
    </row>
    <row r="82" spans="1:17" s="34" customFormat="1" ht="31.5" hidden="1">
      <c r="A82" s="149" t="s">
        <v>51</v>
      </c>
      <c r="B82" s="149" t="s">
        <v>24</v>
      </c>
      <c r="C82" s="166" t="s">
        <v>87</v>
      </c>
      <c r="D82" s="87"/>
      <c r="E82" s="87"/>
      <c r="F82" s="28" t="e">
        <f>E82/D82*1</f>
        <v>#DIV/0!</v>
      </c>
      <c r="G82" s="87"/>
      <c r="H82" s="87"/>
      <c r="I82" s="87"/>
      <c r="J82" s="91">
        <f>I82-H82</f>
        <v>0</v>
      </c>
      <c r="K82" s="87"/>
      <c r="L82" s="91">
        <f>K82-E82</f>
        <v>0</v>
      </c>
      <c r="M82" s="126" t="e">
        <f>K82/E82*1</f>
        <v>#DIV/0!</v>
      </c>
      <c r="N82" s="91">
        <f>K82-G82</f>
        <v>0</v>
      </c>
      <c r="O82" s="124" t="e">
        <f t="shared" si="27"/>
        <v>#DIV/0!</v>
      </c>
      <c r="P82" s="91">
        <f>K82-I82</f>
        <v>0</v>
      </c>
      <c r="Q82" s="126" t="e">
        <f t="shared" si="28"/>
        <v>#DIV/0!</v>
      </c>
    </row>
    <row r="83" spans="1:17" s="34" customFormat="1" ht="30.75" customHeight="1">
      <c r="A83" s="176" t="s">
        <v>34</v>
      </c>
      <c r="B83" s="176" t="s">
        <v>113</v>
      </c>
      <c r="C83" s="177" t="s">
        <v>88</v>
      </c>
      <c r="D83" s="178">
        <f>D85</f>
        <v>0</v>
      </c>
      <c r="E83" s="178">
        <f>E85</f>
        <v>0</v>
      </c>
      <c r="F83" s="179">
        <v>0</v>
      </c>
      <c r="G83" s="178">
        <f>G85</f>
        <v>600</v>
      </c>
      <c r="H83" s="178">
        <f>H85</f>
        <v>220</v>
      </c>
      <c r="I83" s="178">
        <f>I85</f>
        <v>220</v>
      </c>
      <c r="J83" s="178">
        <f>J85</f>
        <v>0</v>
      </c>
      <c r="K83" s="178">
        <f>K85</f>
        <v>0</v>
      </c>
      <c r="L83" s="180">
        <f>K83-E83</f>
        <v>0</v>
      </c>
      <c r="M83" s="181" t="e">
        <f>K83/E83*1</f>
        <v>#DIV/0!</v>
      </c>
      <c r="N83" s="180">
        <f>K83-G83</f>
        <v>-600</v>
      </c>
      <c r="O83" s="181">
        <f t="shared" si="27"/>
        <v>0</v>
      </c>
      <c r="P83" s="180">
        <f>K83-I83</f>
        <v>-220</v>
      </c>
      <c r="Q83" s="182">
        <v>0</v>
      </c>
    </row>
    <row r="84" spans="1:17" s="26" customFormat="1" ht="15.75" customHeight="1">
      <c r="A84" s="150"/>
      <c r="B84" s="150"/>
      <c r="C84" s="172" t="s">
        <v>19</v>
      </c>
      <c r="D84" s="185">
        <f>D83/D90*1</f>
        <v>0</v>
      </c>
      <c r="E84" s="185">
        <f>E83/E90*1</f>
        <v>0</v>
      </c>
      <c r="F84" s="32"/>
      <c r="G84" s="32">
        <f>PRODUCT(G83,1/G90)</f>
        <v>0.0007705040370302185</v>
      </c>
      <c r="H84" s="32">
        <f>PRODUCT(H83,1/H90)</f>
        <v>0.000258623789695034</v>
      </c>
      <c r="I84" s="32">
        <f>PRODUCT(I83,1/I90)</f>
        <v>0.000258623789695034</v>
      </c>
      <c r="J84" s="125"/>
      <c r="K84" s="32">
        <f>PRODUCT(K83,1/K90)</f>
        <v>0</v>
      </c>
      <c r="L84" s="85"/>
      <c r="M84" s="125"/>
      <c r="N84" s="85"/>
      <c r="O84" s="126">
        <f t="shared" si="27"/>
        <v>0</v>
      </c>
      <c r="P84" s="85"/>
      <c r="Q84" s="126">
        <v>0</v>
      </c>
    </row>
    <row r="85" spans="1:17" s="26" customFormat="1" ht="27.75" customHeight="1">
      <c r="A85" s="149" t="s">
        <v>34</v>
      </c>
      <c r="B85" s="149" t="s">
        <v>17</v>
      </c>
      <c r="C85" s="166" t="s">
        <v>88</v>
      </c>
      <c r="D85" s="87">
        <v>0</v>
      </c>
      <c r="E85" s="87">
        <v>0</v>
      </c>
      <c r="F85" s="28">
        <v>0</v>
      </c>
      <c r="G85" s="87">
        <v>600</v>
      </c>
      <c r="H85" s="87">
        <v>220</v>
      </c>
      <c r="I85" s="87">
        <v>220</v>
      </c>
      <c r="J85" s="91">
        <f>SUM(I85,-H85)</f>
        <v>0</v>
      </c>
      <c r="K85" s="87">
        <v>0</v>
      </c>
      <c r="L85" s="91">
        <f>K85-E85</f>
        <v>0</v>
      </c>
      <c r="M85" s="126" t="e">
        <f>K85/E85*1</f>
        <v>#DIV/0!</v>
      </c>
      <c r="N85" s="91">
        <f>K85-G85</f>
        <v>-600</v>
      </c>
      <c r="O85" s="126">
        <f t="shared" si="27"/>
        <v>0</v>
      </c>
      <c r="P85" s="91">
        <f>K85-I85</f>
        <v>-220</v>
      </c>
      <c r="Q85" s="126">
        <v>0</v>
      </c>
    </row>
    <row r="86" spans="1:17" s="110" customFormat="1" ht="31.5" customHeight="1">
      <c r="A86" s="152" t="s">
        <v>43</v>
      </c>
      <c r="B86" s="152" t="s">
        <v>113</v>
      </c>
      <c r="C86" s="173" t="s">
        <v>112</v>
      </c>
      <c r="D86" s="123">
        <f>SUM(D88:D89)</f>
        <v>35407.7</v>
      </c>
      <c r="E86" s="123">
        <f>SUM(E88:E89)</f>
        <v>30319.5</v>
      </c>
      <c r="F86" s="98">
        <f>E86/D86*1</f>
        <v>0.8562967942001317</v>
      </c>
      <c r="G86" s="123">
        <f>SUM(G88:G89)</f>
        <v>19742.04</v>
      </c>
      <c r="H86" s="123">
        <f>SUM(H88:H89)</f>
        <v>24469.08</v>
      </c>
      <c r="I86" s="123">
        <f>SUM(I88:I89)</f>
        <v>24469.08</v>
      </c>
      <c r="J86" s="97">
        <f>J88+J89</f>
        <v>0</v>
      </c>
      <c r="K86" s="123">
        <f>SUM(K88:K89)</f>
        <v>22613.18</v>
      </c>
      <c r="L86" s="97">
        <f>K86-E86</f>
        <v>-7706.32</v>
      </c>
      <c r="M86" s="128">
        <f>K86/E86*1</f>
        <v>0.7458295816223882</v>
      </c>
      <c r="N86" s="97">
        <f>K86-G86</f>
        <v>2871.1399999999994</v>
      </c>
      <c r="O86" s="128">
        <f t="shared" si="27"/>
        <v>1.145432792153192</v>
      </c>
      <c r="P86" s="97">
        <f>K86-I86</f>
        <v>-1855.9000000000015</v>
      </c>
      <c r="Q86" s="130">
        <f t="shared" si="28"/>
        <v>0.9241532579075306</v>
      </c>
    </row>
    <row r="87" spans="1:17" s="26" customFormat="1" ht="15.75" customHeight="1">
      <c r="A87" s="149"/>
      <c r="B87" s="149"/>
      <c r="C87" s="174" t="s">
        <v>19</v>
      </c>
      <c r="D87" s="185">
        <f>D86/D90*1</f>
        <v>0.03754496357106695</v>
      </c>
      <c r="E87" s="185">
        <f>E86/E90*1</f>
        <v>0.033242272272207295</v>
      </c>
      <c r="F87" s="32"/>
      <c r="G87" s="185">
        <f>G86/G90*1</f>
        <v>0.025352202532020092</v>
      </c>
      <c r="H87" s="185">
        <f>H86/H90*1</f>
        <v>0.028764937272504378</v>
      </c>
      <c r="I87" s="185">
        <f>PRODUCT(I86,1/I90)</f>
        <v>0.028764937272504378</v>
      </c>
      <c r="J87" s="125"/>
      <c r="K87" s="185">
        <f>PRODUCT(K86,1/K90)</f>
        <v>0.02745007910908287</v>
      </c>
      <c r="L87" s="91"/>
      <c r="M87" s="126"/>
      <c r="N87" s="91"/>
      <c r="O87" s="125"/>
      <c r="P87" s="91"/>
      <c r="Q87" s="126"/>
    </row>
    <row r="88" spans="1:17" s="26" customFormat="1" ht="30" customHeight="1">
      <c r="A88" s="149" t="s">
        <v>43</v>
      </c>
      <c r="B88" s="149" t="s">
        <v>17</v>
      </c>
      <c r="C88" s="175" t="s">
        <v>114</v>
      </c>
      <c r="D88" s="87">
        <v>23774.7</v>
      </c>
      <c r="E88" s="87">
        <v>21433.5</v>
      </c>
      <c r="F88" s="28">
        <f>E88/D88*1</f>
        <v>0.9015255713005842</v>
      </c>
      <c r="G88" s="87">
        <v>19742.04</v>
      </c>
      <c r="H88" s="87">
        <v>20717.04</v>
      </c>
      <c r="I88" s="87">
        <v>20717.04</v>
      </c>
      <c r="J88" s="91">
        <f>I88-H88</f>
        <v>0</v>
      </c>
      <c r="K88" s="87">
        <v>18900</v>
      </c>
      <c r="L88" s="91">
        <f>K88-E88</f>
        <v>-2533.5</v>
      </c>
      <c r="M88" s="126">
        <f>K88/E88*1</f>
        <v>0.8817971866470712</v>
      </c>
      <c r="N88" s="91">
        <f>K88-G88</f>
        <v>-842.0400000000009</v>
      </c>
      <c r="O88" s="126">
        <f t="shared" si="27"/>
        <v>0.9573478728642024</v>
      </c>
      <c r="P88" s="91">
        <f>K88-I88</f>
        <v>-1817.0400000000009</v>
      </c>
      <c r="Q88" s="126">
        <f t="shared" si="28"/>
        <v>0.9122924896606851</v>
      </c>
    </row>
    <row r="89" spans="1:17" s="26" customFormat="1" ht="24.75" customHeight="1">
      <c r="A89" s="149" t="s">
        <v>43</v>
      </c>
      <c r="B89" s="149" t="s">
        <v>22</v>
      </c>
      <c r="C89" s="166" t="s">
        <v>92</v>
      </c>
      <c r="D89" s="87">
        <v>11633</v>
      </c>
      <c r="E89" s="87">
        <v>8886</v>
      </c>
      <c r="F89" s="28">
        <f>E89/D89*1</f>
        <v>0.7638614286942319</v>
      </c>
      <c r="G89" s="87">
        <v>0</v>
      </c>
      <c r="H89" s="87">
        <v>3752.04</v>
      </c>
      <c r="I89" s="87">
        <v>3752.04</v>
      </c>
      <c r="J89" s="91">
        <f>I89-H89</f>
        <v>0</v>
      </c>
      <c r="K89" s="87">
        <v>3713.18</v>
      </c>
      <c r="L89" s="91">
        <f>K89-E89</f>
        <v>-5172.82</v>
      </c>
      <c r="M89" s="126">
        <f>K89/E89*1</f>
        <v>0.4178685572811163</v>
      </c>
      <c r="N89" s="91">
        <f>K89-G89</f>
        <v>3713.18</v>
      </c>
      <c r="O89" s="126">
        <v>0</v>
      </c>
      <c r="P89" s="91">
        <f>K89-I89</f>
        <v>-38.86000000000013</v>
      </c>
      <c r="Q89" s="126">
        <f t="shared" si="28"/>
        <v>0.9896429675589812</v>
      </c>
    </row>
    <row r="90" spans="1:131" s="34" customFormat="1" ht="22.5" customHeight="1">
      <c r="A90" s="150"/>
      <c r="B90" s="150"/>
      <c r="C90" s="146" t="s">
        <v>89</v>
      </c>
      <c r="D90" s="93">
        <f>D12+D25+D31+D39+D45+D48+D55+D59+D66+D73+D79+D83+D86</f>
        <v>943074.56</v>
      </c>
      <c r="E90" s="93">
        <f>E12+E25+E31+E39+E45+E48+E55+E59+E66+E73+E79+E83+E86</f>
        <v>912076.6400000001</v>
      </c>
      <c r="F90" s="27">
        <f>PRODUCT(E90,1/D90)</f>
        <v>0.9671309975745714</v>
      </c>
      <c r="G90" s="93">
        <f>G12+G25+G31+G39+G45+G48+G55+G59+G66+G73+G79+G83+G22+G86</f>
        <v>778711.04</v>
      </c>
      <c r="H90" s="93">
        <f>H12+H25+H31+H39+H45+H48+H55+H59+H66+H73+H79+H83+H22+H86</f>
        <v>850656.47</v>
      </c>
      <c r="I90" s="93">
        <f>I12+I25+I31+I39+I45+I48+I55+I59+I66+I73+I79+I83+I22+I86</f>
        <v>850656.47</v>
      </c>
      <c r="J90" s="93">
        <f>J12+J25+J31+J39+J45+J48+J55+J59+J66+J73+J79+J83+J22</f>
        <v>0</v>
      </c>
      <c r="K90" s="93">
        <f>K12+K25+K31+K39+K45+K48+K55+K59+K66+K73+K79+K83+K22+K86</f>
        <v>823792.8899999999</v>
      </c>
      <c r="L90" s="93">
        <f>L12+L25+L31+L39+L45+L48+L55+L59+L66+L73+L79+L83+L22+L86</f>
        <v>-88283.75000000006</v>
      </c>
      <c r="M90" s="125">
        <f>K90/E90*1</f>
        <v>0.903205776654909</v>
      </c>
      <c r="N90" s="85">
        <f>K90-G90</f>
        <v>45081.84999999986</v>
      </c>
      <c r="O90" s="125">
        <f t="shared" si="27"/>
        <v>1.057892912369651</v>
      </c>
      <c r="P90" s="85">
        <f>K90-I90</f>
        <v>-26863.580000000075</v>
      </c>
      <c r="Q90" s="126">
        <f t="shared" si="28"/>
        <v>0.9684201778892012</v>
      </c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  <c r="DZ90" s="31"/>
      <c r="EA90" s="31"/>
    </row>
    <row r="91" spans="1:131" s="34" customFormat="1" ht="15.75">
      <c r="A91" s="39"/>
      <c r="B91" s="39"/>
      <c r="C91" s="40"/>
      <c r="D91" s="41"/>
      <c r="E91" s="41"/>
      <c r="F91" s="42"/>
      <c r="G91" s="41"/>
      <c r="H91" s="41"/>
      <c r="I91" s="41"/>
      <c r="J91" s="43"/>
      <c r="K91" s="41"/>
      <c r="L91" s="44"/>
      <c r="M91" s="45"/>
      <c r="N91" s="44"/>
      <c r="O91" s="45"/>
      <c r="P91" s="44"/>
      <c r="Q91" s="45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  <c r="DZ91" s="31"/>
      <c r="EA91" s="31"/>
    </row>
    <row r="92" spans="1:131" s="52" customFormat="1" ht="32.25" customHeight="1">
      <c r="A92" s="46"/>
      <c r="B92" s="46"/>
      <c r="C92" s="47"/>
      <c r="D92" s="94"/>
      <c r="E92" s="48"/>
      <c r="F92" s="48"/>
      <c r="G92" s="48"/>
      <c r="H92" s="49"/>
      <c r="I92" s="48"/>
      <c r="J92" s="49"/>
      <c r="K92" s="49"/>
      <c r="L92" s="50"/>
      <c r="M92" s="50"/>
      <c r="N92" s="50"/>
      <c r="O92" s="50"/>
      <c r="P92" s="51"/>
      <c r="Q92" s="5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31"/>
      <c r="DX92" s="31"/>
      <c r="DY92" s="31"/>
      <c r="DZ92" s="31"/>
      <c r="EA92" s="31"/>
    </row>
    <row r="93" spans="1:17" s="33" customFormat="1" ht="32.25" customHeight="1">
      <c r="A93" s="46"/>
      <c r="B93" s="53"/>
      <c r="C93" s="47"/>
      <c r="D93" s="54"/>
      <c r="E93" s="54"/>
      <c r="F93" s="54"/>
      <c r="G93" s="54"/>
      <c r="H93" s="54"/>
      <c r="I93" s="54"/>
      <c r="J93" s="54"/>
      <c r="K93" s="54"/>
      <c r="L93" s="55"/>
      <c r="M93" s="55"/>
      <c r="N93" s="55"/>
      <c r="O93" s="55"/>
      <c r="P93" s="56"/>
      <c r="Q93" s="56"/>
    </row>
    <row r="94" spans="1:17" s="26" customFormat="1" ht="15" customHeight="1">
      <c r="A94" s="46"/>
      <c r="B94" s="46"/>
      <c r="C94" s="47"/>
      <c r="D94" s="94"/>
      <c r="E94" s="57"/>
      <c r="F94" s="58"/>
      <c r="G94" s="57"/>
      <c r="H94" s="54"/>
      <c r="I94" s="59"/>
      <c r="J94" s="59"/>
      <c r="K94" s="59"/>
      <c r="L94" s="55"/>
      <c r="M94" s="55"/>
      <c r="N94" s="55"/>
      <c r="O94" s="55"/>
      <c r="P94" s="56"/>
      <c r="Q94" s="56"/>
    </row>
    <row r="95" spans="1:17" s="26" customFormat="1" ht="15" customHeight="1">
      <c r="A95" s="60"/>
      <c r="B95" s="60"/>
      <c r="C95" s="61"/>
      <c r="D95" s="95"/>
      <c r="E95" s="57"/>
      <c r="F95" s="58"/>
      <c r="G95" s="57"/>
      <c r="H95" s="54"/>
      <c r="I95" s="59"/>
      <c r="J95" s="59"/>
      <c r="K95" s="100"/>
      <c r="L95" s="62"/>
      <c r="M95" s="62"/>
      <c r="N95" s="62"/>
      <c r="O95" s="62"/>
      <c r="P95" s="63"/>
      <c r="Q95" s="63"/>
    </row>
    <row r="96" spans="1:17" ht="12.75">
      <c r="A96" s="60"/>
      <c r="B96" s="60"/>
      <c r="C96" s="61"/>
      <c r="D96" s="95"/>
      <c r="E96" s="57"/>
      <c r="F96" s="58"/>
      <c r="G96" s="57"/>
      <c r="H96" s="54"/>
      <c r="I96" s="59"/>
      <c r="J96" s="59"/>
      <c r="K96" s="100"/>
      <c r="L96" s="62"/>
      <c r="M96" s="62"/>
      <c r="N96" s="62"/>
      <c r="O96" s="62"/>
      <c r="P96" s="63"/>
      <c r="Q96" s="63"/>
    </row>
    <row r="97" spans="1:17" ht="12.75">
      <c r="A97" s="60"/>
      <c r="B97" s="60"/>
      <c r="C97" s="61"/>
      <c r="D97" s="95"/>
      <c r="E97" s="57"/>
      <c r="F97" s="58"/>
      <c r="G97" s="57"/>
      <c r="H97" s="54"/>
      <c r="I97" s="59"/>
      <c r="J97" s="54"/>
      <c r="K97" s="101"/>
      <c r="L97" s="62"/>
      <c r="M97" s="62"/>
      <c r="N97" s="62"/>
      <c r="O97" s="62"/>
      <c r="P97" s="63"/>
      <c r="Q97" s="63"/>
    </row>
    <row r="98" spans="1:17" ht="12.75">
      <c r="A98" s="46"/>
      <c r="B98" s="46"/>
      <c r="C98" s="47"/>
      <c r="D98" s="94"/>
      <c r="E98" s="57"/>
      <c r="F98" s="58"/>
      <c r="G98" s="57"/>
      <c r="H98" s="54"/>
      <c r="I98" s="59"/>
      <c r="J98" s="54"/>
      <c r="K98" s="102"/>
      <c r="L98" s="62"/>
      <c r="M98" s="62"/>
      <c r="N98" s="62"/>
      <c r="O98" s="62"/>
      <c r="P98" s="63"/>
      <c r="Q98" s="63"/>
    </row>
    <row r="99" spans="1:17" s="64" customFormat="1" ht="12.75">
      <c r="A99" s="60"/>
      <c r="B99" s="60"/>
      <c r="C99" s="61"/>
      <c r="D99" s="95"/>
      <c r="E99" s="57"/>
      <c r="F99" s="58"/>
      <c r="G99" s="57"/>
      <c r="H99" s="54"/>
      <c r="I99" s="59"/>
      <c r="J99" s="54"/>
      <c r="K99" s="101"/>
      <c r="L99" s="62"/>
      <c r="M99" s="62"/>
      <c r="N99" s="62"/>
      <c r="O99" s="62"/>
      <c r="P99" s="63"/>
      <c r="Q99" s="63"/>
    </row>
    <row r="100" spans="1:17" s="64" customFormat="1" ht="12.75" customHeight="1" hidden="1">
      <c r="A100" s="46"/>
      <c r="B100" s="46"/>
      <c r="C100" s="47"/>
      <c r="D100" s="94"/>
      <c r="E100" s="57"/>
      <c r="F100" s="58"/>
      <c r="G100" s="57"/>
      <c r="H100" s="54"/>
      <c r="I100" s="59"/>
      <c r="J100" s="54"/>
      <c r="K100" s="101"/>
      <c r="L100" s="55"/>
      <c r="M100" s="55"/>
      <c r="N100" s="55"/>
      <c r="O100" s="55"/>
      <c r="P100" s="56"/>
      <c r="Q100" s="56"/>
    </row>
    <row r="101" spans="1:17" s="64" customFormat="1" ht="12.75">
      <c r="A101" s="46"/>
      <c r="B101" s="46"/>
      <c r="C101" s="47"/>
      <c r="D101" s="94"/>
      <c r="E101" s="57"/>
      <c r="F101" s="58"/>
      <c r="G101" s="57"/>
      <c r="H101" s="54"/>
      <c r="I101" s="59"/>
      <c r="J101" s="54"/>
      <c r="K101" s="101"/>
      <c r="L101" s="55"/>
      <c r="M101" s="55"/>
      <c r="N101" s="55"/>
      <c r="O101" s="55"/>
      <c r="P101" s="56"/>
      <c r="Q101" s="56"/>
    </row>
    <row r="102" spans="1:17" s="64" customFormat="1" ht="12.75">
      <c r="A102" s="46"/>
      <c r="B102" s="46"/>
      <c r="C102" s="47"/>
      <c r="D102" s="94"/>
      <c r="E102" s="57"/>
      <c r="F102" s="58"/>
      <c r="G102" s="57"/>
      <c r="H102" s="54"/>
      <c r="I102" s="59"/>
      <c r="J102" s="59"/>
      <c r="K102" s="103"/>
      <c r="L102" s="55"/>
      <c r="M102" s="55"/>
      <c r="N102" s="55"/>
      <c r="O102" s="55"/>
      <c r="P102" s="56"/>
      <c r="Q102" s="56"/>
    </row>
    <row r="103" spans="1:17" s="64" customFormat="1" ht="12.75">
      <c r="A103" s="46"/>
      <c r="B103" s="53"/>
      <c r="C103" s="47"/>
      <c r="D103" s="94"/>
      <c r="E103" s="57"/>
      <c r="F103" s="58"/>
      <c r="G103" s="57"/>
      <c r="H103" s="54"/>
      <c r="I103" s="59"/>
      <c r="J103" s="59"/>
      <c r="K103" s="103"/>
      <c r="L103" s="55"/>
      <c r="M103" s="55"/>
      <c r="N103" s="55"/>
      <c r="O103" s="55"/>
      <c r="P103" s="56"/>
      <c r="Q103" s="56"/>
    </row>
    <row r="104" spans="1:17" ht="12.75">
      <c r="A104" s="46"/>
      <c r="B104" s="53"/>
      <c r="C104" s="47"/>
      <c r="D104" s="94"/>
      <c r="E104" s="57"/>
      <c r="F104" s="58"/>
      <c r="G104" s="57"/>
      <c r="H104" s="54"/>
      <c r="I104" s="59"/>
      <c r="J104" s="59"/>
      <c r="K104" s="103"/>
      <c r="L104" s="55"/>
      <c r="M104" s="55"/>
      <c r="N104" s="55"/>
      <c r="O104" s="55"/>
      <c r="P104" s="56"/>
      <c r="Q104" s="56"/>
    </row>
    <row r="105" spans="1:17" ht="12.75">
      <c r="A105" s="46"/>
      <c r="B105" s="53"/>
      <c r="C105" s="47"/>
      <c r="D105" s="94"/>
      <c r="E105" s="57"/>
      <c r="F105" s="58"/>
      <c r="G105" s="57"/>
      <c r="H105" s="54"/>
      <c r="I105" s="59"/>
      <c r="J105" s="59"/>
      <c r="K105" s="104"/>
      <c r="L105" s="55"/>
      <c r="M105" s="55"/>
      <c r="N105" s="55"/>
      <c r="O105" s="55"/>
      <c r="P105" s="56"/>
      <c r="Q105" s="56"/>
    </row>
    <row r="106" spans="1:17" ht="12.75">
      <c r="A106" s="46"/>
      <c r="B106" s="53"/>
      <c r="C106" s="47"/>
      <c r="D106" s="94"/>
      <c r="E106" s="57"/>
      <c r="F106" s="58"/>
      <c r="G106" s="57"/>
      <c r="H106" s="54"/>
      <c r="I106" s="59"/>
      <c r="J106" s="59"/>
      <c r="K106" s="104"/>
      <c r="L106" s="55"/>
      <c r="M106" s="55"/>
      <c r="N106" s="55"/>
      <c r="O106" s="55"/>
      <c r="P106" s="56"/>
      <c r="Q106" s="56"/>
    </row>
    <row r="107" spans="1:17" ht="12.75">
      <c r="A107" s="46"/>
      <c r="B107" s="53"/>
      <c r="C107" s="47"/>
      <c r="D107" s="94"/>
      <c r="E107" s="57"/>
      <c r="F107" s="58"/>
      <c r="G107" s="57"/>
      <c r="H107" s="54"/>
      <c r="I107" s="59"/>
      <c r="J107" s="59"/>
      <c r="K107" s="103"/>
      <c r="L107" s="55"/>
      <c r="M107" s="55"/>
      <c r="N107" s="55"/>
      <c r="O107" s="55"/>
      <c r="P107" s="56"/>
      <c r="Q107" s="56"/>
    </row>
    <row r="108" spans="1:17" ht="12.75">
      <c r="A108" s="46"/>
      <c r="B108" s="53"/>
      <c r="C108" s="47"/>
      <c r="D108" s="94"/>
      <c r="E108" s="57"/>
      <c r="F108" s="58"/>
      <c r="G108" s="57"/>
      <c r="H108" s="54"/>
      <c r="I108" s="59"/>
      <c r="J108" s="59"/>
      <c r="K108" s="103"/>
      <c r="L108" s="55"/>
      <c r="M108" s="55"/>
      <c r="N108" s="55"/>
      <c r="O108" s="55"/>
      <c r="P108" s="56"/>
      <c r="Q108" s="56"/>
    </row>
    <row r="109" spans="1:17" ht="25.5" customHeight="1" hidden="1">
      <c r="A109" s="46"/>
      <c r="B109" s="53"/>
      <c r="C109" s="47"/>
      <c r="D109" s="94"/>
      <c r="E109" s="57"/>
      <c r="F109" s="58"/>
      <c r="G109" s="57"/>
      <c r="H109" s="54"/>
      <c r="I109" s="59"/>
      <c r="J109" s="59"/>
      <c r="K109" s="103"/>
      <c r="L109" s="55"/>
      <c r="M109" s="55"/>
      <c r="N109" s="55"/>
      <c r="O109" s="55"/>
      <c r="P109" s="56"/>
      <c r="Q109" s="56"/>
    </row>
    <row r="110" spans="1:17" ht="12.75" customHeight="1" hidden="1">
      <c r="A110" s="46"/>
      <c r="B110" s="53"/>
      <c r="C110" s="47"/>
      <c r="D110" s="94"/>
      <c r="E110" s="57"/>
      <c r="F110" s="58"/>
      <c r="G110" s="57"/>
      <c r="H110" s="54"/>
      <c r="I110" s="59"/>
      <c r="J110" s="59"/>
      <c r="K110" s="104"/>
      <c r="L110" s="55"/>
      <c r="M110" s="55"/>
      <c r="N110" s="55"/>
      <c r="O110" s="55"/>
      <c r="P110" s="56"/>
      <c r="Q110" s="56"/>
    </row>
    <row r="111" spans="1:17" ht="14.25" customHeight="1">
      <c r="A111" s="46"/>
      <c r="B111" s="53"/>
      <c r="C111" s="47"/>
      <c r="D111" s="94"/>
      <c r="E111" s="57"/>
      <c r="F111" s="58"/>
      <c r="G111" s="57"/>
      <c r="H111" s="54"/>
      <c r="I111" s="59"/>
      <c r="J111" s="59"/>
      <c r="K111" s="104"/>
      <c r="L111" s="55"/>
      <c r="M111" s="55"/>
      <c r="N111" s="55"/>
      <c r="O111" s="55"/>
      <c r="P111" s="56"/>
      <c r="Q111" s="56"/>
    </row>
    <row r="112" spans="1:17" ht="12.75">
      <c r="A112" s="46"/>
      <c r="B112" s="53"/>
      <c r="C112" s="47"/>
      <c r="D112" s="94"/>
      <c r="E112" s="57"/>
      <c r="F112" s="58"/>
      <c r="G112" s="57"/>
      <c r="H112" s="54"/>
      <c r="I112" s="59"/>
      <c r="J112" s="59"/>
      <c r="K112" s="104"/>
      <c r="L112" s="55"/>
      <c r="M112" s="55"/>
      <c r="N112" s="55"/>
      <c r="O112" s="55"/>
      <c r="P112" s="56"/>
      <c r="Q112" s="56"/>
    </row>
    <row r="113" spans="1:17" ht="12.75">
      <c r="A113" s="46"/>
      <c r="B113" s="53"/>
      <c r="C113" s="47"/>
      <c r="D113" s="94"/>
      <c r="E113" s="57"/>
      <c r="F113" s="58"/>
      <c r="G113" s="57"/>
      <c r="H113" s="54"/>
      <c r="I113" s="59"/>
      <c r="J113" s="59"/>
      <c r="K113" s="104"/>
      <c r="L113" s="55"/>
      <c r="M113" s="55"/>
      <c r="N113" s="55"/>
      <c r="O113" s="55"/>
      <c r="P113" s="56"/>
      <c r="Q113" s="56"/>
    </row>
    <row r="114" spans="1:17" ht="12.75">
      <c r="A114" s="46"/>
      <c r="B114" s="53"/>
      <c r="C114" s="61"/>
      <c r="D114" s="95"/>
      <c r="E114" s="57"/>
      <c r="F114" s="58"/>
      <c r="G114" s="57"/>
      <c r="H114" s="54"/>
      <c r="I114" s="59"/>
      <c r="J114" s="59"/>
      <c r="K114" s="104"/>
      <c r="L114" s="55"/>
      <c r="M114" s="55"/>
      <c r="N114" s="55"/>
      <c r="O114" s="55"/>
      <c r="P114" s="56"/>
      <c r="Q114" s="56"/>
    </row>
    <row r="115" spans="1:17" ht="12.75">
      <c r="A115" s="46"/>
      <c r="B115" s="53"/>
      <c r="C115" s="65"/>
      <c r="D115" s="96"/>
      <c r="E115" s="57"/>
      <c r="F115" s="58"/>
      <c r="G115" s="57"/>
      <c r="H115" s="54"/>
      <c r="I115" s="59"/>
      <c r="J115" s="59"/>
      <c r="K115" s="104"/>
      <c r="L115" s="55"/>
      <c r="M115" s="55"/>
      <c r="N115" s="55"/>
      <c r="O115" s="55"/>
      <c r="P115" s="56"/>
      <c r="Q115" s="56"/>
    </row>
    <row r="116" spans="1:17" ht="12.75">
      <c r="A116" s="46"/>
      <c r="B116" s="53"/>
      <c r="C116" s="47"/>
      <c r="D116" s="94"/>
      <c r="E116" s="57"/>
      <c r="F116" s="58"/>
      <c r="G116" s="57"/>
      <c r="H116" s="54"/>
      <c r="I116" s="59"/>
      <c r="J116" s="59"/>
      <c r="K116" s="104"/>
      <c r="L116" s="55"/>
      <c r="M116" s="55"/>
      <c r="N116" s="55"/>
      <c r="O116" s="55"/>
      <c r="P116" s="56"/>
      <c r="Q116" s="56"/>
    </row>
    <row r="117" spans="1:10" ht="12.75" customHeight="1" hidden="1">
      <c r="A117" s="46"/>
      <c r="B117" s="53"/>
      <c r="C117" s="47"/>
      <c r="D117" s="47"/>
      <c r="E117" s="66"/>
      <c r="F117" s="67"/>
      <c r="G117" s="66"/>
      <c r="H117" s="68"/>
      <c r="I117" s="69"/>
      <c r="J117" s="69"/>
    </row>
    <row r="118" spans="1:10" ht="12.75">
      <c r="A118" s="46"/>
      <c r="B118" s="53"/>
      <c r="C118" s="65"/>
      <c r="D118" s="65"/>
      <c r="E118" s="66"/>
      <c r="F118" s="67"/>
      <c r="G118" s="66"/>
      <c r="H118" s="68"/>
      <c r="I118" s="69"/>
      <c r="J118" s="69"/>
    </row>
    <row r="119" spans="1:10" ht="12.75">
      <c r="A119" s="46"/>
      <c r="B119" s="53"/>
      <c r="C119" s="65"/>
      <c r="D119" s="65"/>
      <c r="E119" s="66"/>
      <c r="F119" s="67"/>
      <c r="G119" s="66"/>
      <c r="H119" s="68"/>
      <c r="I119" s="69"/>
      <c r="J119" s="69"/>
    </row>
    <row r="120" spans="1:10" ht="12.75">
      <c r="A120" s="46"/>
      <c r="B120" s="53"/>
      <c r="C120" s="65"/>
      <c r="D120" s="65"/>
      <c r="E120" s="66"/>
      <c r="F120" s="67"/>
      <c r="G120" s="66"/>
      <c r="H120" s="68"/>
      <c r="I120" s="69"/>
      <c r="J120" s="69"/>
    </row>
    <row r="121" spans="1:10" ht="12.75">
      <c r="A121" s="46"/>
      <c r="B121" s="53"/>
      <c r="C121" s="65"/>
      <c r="D121" s="65"/>
      <c r="E121" s="66"/>
      <c r="F121" s="67"/>
      <c r="G121" s="66"/>
      <c r="H121" s="68"/>
      <c r="I121" s="69"/>
      <c r="J121" s="69"/>
    </row>
    <row r="122" spans="1:10" ht="39.75" customHeight="1">
      <c r="A122" s="46"/>
      <c r="B122" s="53"/>
      <c r="C122" s="65"/>
      <c r="D122" s="65"/>
      <c r="E122" s="66"/>
      <c r="F122" s="67"/>
      <c r="G122" s="66"/>
      <c r="H122" s="68"/>
      <c r="I122" s="69"/>
      <c r="J122" s="69"/>
    </row>
    <row r="123" spans="1:10" ht="12.75">
      <c r="A123" s="46"/>
      <c r="B123" s="53"/>
      <c r="C123" s="65"/>
      <c r="D123" s="65"/>
      <c r="E123" s="66"/>
      <c r="F123" s="67"/>
      <c r="G123" s="66"/>
      <c r="H123" s="68"/>
      <c r="I123" s="69"/>
      <c r="J123" s="69"/>
    </row>
    <row r="124" spans="1:10" ht="12.75">
      <c r="A124" s="46"/>
      <c r="B124" s="53"/>
      <c r="C124" s="65"/>
      <c r="D124" s="65"/>
      <c r="E124" s="66"/>
      <c r="F124" s="67"/>
      <c r="G124" s="66"/>
      <c r="H124" s="68"/>
      <c r="I124" s="69"/>
      <c r="J124" s="69"/>
    </row>
    <row r="125" spans="1:10" ht="12.75">
      <c r="A125" s="46"/>
      <c r="B125" s="53"/>
      <c r="C125" s="65"/>
      <c r="D125" s="65"/>
      <c r="E125" s="66"/>
      <c r="F125" s="67"/>
      <c r="G125" s="66"/>
      <c r="H125" s="68"/>
      <c r="I125" s="69"/>
      <c r="J125" s="69"/>
    </row>
    <row r="126" spans="1:10" ht="12.75">
      <c r="A126" s="46"/>
      <c r="B126" s="53"/>
      <c r="C126" s="65"/>
      <c r="D126" s="65"/>
      <c r="E126" s="66"/>
      <c r="F126" s="67"/>
      <c r="G126" s="66"/>
      <c r="H126" s="68"/>
      <c r="I126" s="69"/>
      <c r="J126" s="69"/>
    </row>
    <row r="127" spans="1:10" ht="12.75">
      <c r="A127" s="46"/>
      <c r="B127" s="53"/>
      <c r="C127" s="65"/>
      <c r="D127" s="65"/>
      <c r="E127" s="66"/>
      <c r="F127" s="67"/>
      <c r="G127" s="66"/>
      <c r="H127" s="68"/>
      <c r="I127" s="69"/>
      <c r="J127" s="69"/>
    </row>
    <row r="128" spans="1:10" ht="12.75">
      <c r="A128" s="11"/>
      <c r="B128" s="53"/>
      <c r="C128" s="65"/>
      <c r="D128" s="65"/>
      <c r="E128" s="66"/>
      <c r="F128" s="67"/>
      <c r="G128" s="66"/>
      <c r="H128" s="68"/>
      <c r="I128" s="69"/>
      <c r="J128" s="69"/>
    </row>
    <row r="129" spans="1:10" ht="12.75">
      <c r="A129" s="11"/>
      <c r="B129" s="53"/>
      <c r="C129" s="65"/>
      <c r="D129" s="65"/>
      <c r="E129" s="66"/>
      <c r="F129" s="67"/>
      <c r="G129" s="66"/>
      <c r="H129" s="68"/>
      <c r="I129" s="69"/>
      <c r="J129" s="69"/>
    </row>
    <row r="130" spans="1:10" ht="12.75">
      <c r="A130" s="11"/>
      <c r="B130" s="53"/>
      <c r="C130" s="65"/>
      <c r="D130" s="65"/>
      <c r="E130" s="66"/>
      <c r="F130" s="67"/>
      <c r="G130" s="66"/>
      <c r="H130" s="68"/>
      <c r="I130" s="69"/>
      <c r="J130" s="69"/>
    </row>
    <row r="131" spans="1:17" ht="12.75">
      <c r="A131" s="60"/>
      <c r="B131" s="70"/>
      <c r="C131" s="61"/>
      <c r="D131" s="61"/>
      <c r="E131" s="66"/>
      <c r="F131" s="67"/>
      <c r="G131" s="66"/>
      <c r="H131" s="68"/>
      <c r="I131" s="69"/>
      <c r="J131" s="69"/>
      <c r="K131" s="105"/>
      <c r="L131" s="71"/>
      <c r="M131" s="71"/>
      <c r="N131" s="71"/>
      <c r="O131" s="71"/>
      <c r="P131" s="64"/>
      <c r="Q131" s="64"/>
    </row>
    <row r="132" spans="1:17" ht="14.25" customHeight="1">
      <c r="A132" s="60"/>
      <c r="B132" s="70"/>
      <c r="C132" s="61"/>
      <c r="D132" s="61"/>
      <c r="E132" s="66"/>
      <c r="F132" s="67"/>
      <c r="G132" s="66"/>
      <c r="H132" s="68"/>
      <c r="I132" s="69"/>
      <c r="J132" s="69"/>
      <c r="K132" s="105"/>
      <c r="L132" s="71"/>
      <c r="M132" s="71"/>
      <c r="N132" s="71"/>
      <c r="O132" s="71"/>
      <c r="P132" s="64"/>
      <c r="Q132" s="64"/>
    </row>
    <row r="133" spans="1:10" ht="28.5" customHeight="1">
      <c r="A133" s="46"/>
      <c r="B133" s="53"/>
      <c r="C133" s="47"/>
      <c r="D133" s="47"/>
      <c r="E133" s="66"/>
      <c r="F133" s="67"/>
      <c r="G133" s="66"/>
      <c r="H133" s="68"/>
      <c r="I133" s="69"/>
      <c r="J133" s="69"/>
    </row>
    <row r="134" spans="1:10" ht="15" customHeight="1">
      <c r="A134" s="46"/>
      <c r="B134" s="53"/>
      <c r="C134" s="47"/>
      <c r="D134" s="47"/>
      <c r="E134" s="66"/>
      <c r="F134" s="67"/>
      <c r="G134" s="66"/>
      <c r="H134" s="68"/>
      <c r="I134" s="69"/>
      <c r="J134" s="69"/>
    </row>
    <row r="135" spans="1:17" s="64" customFormat="1" ht="12.75">
      <c r="A135" s="46"/>
      <c r="B135" s="53"/>
      <c r="C135" s="47"/>
      <c r="D135" s="47"/>
      <c r="E135" s="66"/>
      <c r="F135" s="67"/>
      <c r="G135" s="66"/>
      <c r="H135" s="68"/>
      <c r="I135" s="69"/>
      <c r="J135" s="69"/>
      <c r="K135" s="5"/>
      <c r="L135" s="6"/>
      <c r="M135" s="6"/>
      <c r="N135" s="6"/>
      <c r="O135" s="6"/>
      <c r="P135"/>
      <c r="Q135"/>
    </row>
    <row r="136" spans="1:15" s="64" customFormat="1" ht="12.75">
      <c r="A136" s="60"/>
      <c r="B136" s="70"/>
      <c r="C136" s="72"/>
      <c r="D136" s="72"/>
      <c r="E136" s="66"/>
      <c r="F136" s="67"/>
      <c r="G136" s="66"/>
      <c r="H136" s="68"/>
      <c r="I136" s="69"/>
      <c r="J136" s="69"/>
      <c r="K136" s="105"/>
      <c r="L136" s="71"/>
      <c r="M136" s="71"/>
      <c r="N136" s="71"/>
      <c r="O136" s="71"/>
    </row>
    <row r="137" spans="1:17" ht="12.75">
      <c r="A137" s="46"/>
      <c r="B137" s="53"/>
      <c r="C137" s="65"/>
      <c r="D137" s="65"/>
      <c r="E137" s="67"/>
      <c r="F137" s="67"/>
      <c r="G137" s="67"/>
      <c r="H137" s="68"/>
      <c r="I137" s="69"/>
      <c r="J137" s="69"/>
      <c r="L137" s="3"/>
      <c r="M137" s="3"/>
      <c r="N137" s="3"/>
      <c r="O137" s="3"/>
      <c r="P137" s="73"/>
      <c r="Q137" s="73"/>
    </row>
    <row r="138" spans="1:17" ht="12.75">
      <c r="A138" s="60"/>
      <c r="B138" s="53"/>
      <c r="C138" s="65"/>
      <c r="D138" s="65"/>
      <c r="E138" s="66"/>
      <c r="F138" s="67"/>
      <c r="G138" s="66"/>
      <c r="H138" s="68"/>
      <c r="I138" s="69"/>
      <c r="J138" s="69"/>
      <c r="K138" s="105"/>
      <c r="L138" s="71"/>
      <c r="M138" s="71"/>
      <c r="N138" s="71"/>
      <c r="O138" s="71"/>
      <c r="P138" s="64"/>
      <c r="Q138" s="64"/>
    </row>
    <row r="139" spans="1:17" ht="12.75">
      <c r="A139" s="60"/>
      <c r="B139" s="70"/>
      <c r="C139" s="61"/>
      <c r="D139" s="61"/>
      <c r="E139" s="66"/>
      <c r="F139" s="67"/>
      <c r="G139" s="66"/>
      <c r="H139" s="68"/>
      <c r="I139" s="69"/>
      <c r="J139" s="69"/>
      <c r="K139" s="105"/>
      <c r="L139" s="71"/>
      <c r="M139" s="71"/>
      <c r="N139" s="71"/>
      <c r="O139" s="71"/>
      <c r="P139" s="64"/>
      <c r="Q139" s="64"/>
    </row>
    <row r="140" spans="1:17" s="64" customFormat="1" ht="12.75">
      <c r="A140" s="11"/>
      <c r="B140" s="53"/>
      <c r="C140" s="47"/>
      <c r="D140" s="47"/>
      <c r="E140" s="66"/>
      <c r="F140" s="67"/>
      <c r="G140" s="66"/>
      <c r="H140" s="68"/>
      <c r="I140" s="69"/>
      <c r="J140" s="69"/>
      <c r="K140" s="5"/>
      <c r="L140" s="6"/>
      <c r="M140" s="6"/>
      <c r="N140" s="6"/>
      <c r="O140" s="6"/>
      <c r="P140"/>
      <c r="Q140"/>
    </row>
    <row r="141" spans="1:17" s="73" customFormat="1" ht="12.75">
      <c r="A141" s="11"/>
      <c r="B141" s="53"/>
      <c r="C141" s="47"/>
      <c r="D141" s="47"/>
      <c r="E141" s="67"/>
      <c r="F141" s="67"/>
      <c r="G141" s="67"/>
      <c r="H141" s="68"/>
      <c r="I141" s="69"/>
      <c r="J141" s="69"/>
      <c r="K141" s="5"/>
      <c r="L141" s="6"/>
      <c r="M141" s="6"/>
      <c r="N141" s="6"/>
      <c r="O141" s="6"/>
      <c r="P141"/>
      <c r="Q141"/>
    </row>
    <row r="142" spans="1:17" s="64" customFormat="1" ht="12.75">
      <c r="A142" s="11"/>
      <c r="B142" s="53"/>
      <c r="C142" s="47"/>
      <c r="D142" s="47"/>
      <c r="E142" s="67"/>
      <c r="F142" s="67"/>
      <c r="G142" s="67"/>
      <c r="H142" s="68"/>
      <c r="I142" s="69"/>
      <c r="J142" s="69"/>
      <c r="K142" s="5"/>
      <c r="L142" s="6"/>
      <c r="M142" s="6"/>
      <c r="N142" s="6"/>
      <c r="O142" s="6"/>
      <c r="P142"/>
      <c r="Q142"/>
    </row>
    <row r="143" spans="1:17" s="64" customFormat="1" ht="12.75">
      <c r="A143" s="11"/>
      <c r="B143" s="53"/>
      <c r="C143" s="47"/>
      <c r="D143" s="47"/>
      <c r="E143" s="67"/>
      <c r="F143" s="67"/>
      <c r="G143" s="67"/>
      <c r="H143" s="68"/>
      <c r="I143" s="69"/>
      <c r="J143" s="69"/>
      <c r="K143" s="5"/>
      <c r="L143" s="6"/>
      <c r="M143" s="6"/>
      <c r="N143" s="6"/>
      <c r="O143" s="6"/>
      <c r="P143"/>
      <c r="Q143"/>
    </row>
    <row r="144" spans="1:10" ht="12.75">
      <c r="A144" s="11"/>
      <c r="B144" s="53"/>
      <c r="C144" s="47"/>
      <c r="D144" s="47"/>
      <c r="E144" s="67"/>
      <c r="F144" s="67"/>
      <c r="G144" s="67"/>
      <c r="H144" s="68"/>
      <c r="I144" s="69"/>
      <c r="J144" s="69"/>
    </row>
    <row r="145" spans="1:10" ht="36.75" customHeight="1">
      <c r="A145" s="11"/>
      <c r="B145" s="53"/>
      <c r="C145" s="47"/>
      <c r="D145" s="47"/>
      <c r="E145" s="67"/>
      <c r="F145" s="67"/>
      <c r="G145" s="67"/>
      <c r="H145" s="68"/>
      <c r="I145" s="69"/>
      <c r="J145" s="69"/>
    </row>
    <row r="146" spans="1:10" ht="12.75">
      <c r="A146" s="11"/>
      <c r="B146" s="53"/>
      <c r="C146" s="47"/>
      <c r="D146" s="47"/>
      <c r="E146" s="67"/>
      <c r="F146" s="67"/>
      <c r="G146" s="67"/>
      <c r="H146" s="68"/>
      <c r="I146" s="69"/>
      <c r="J146" s="69"/>
    </row>
    <row r="147" spans="1:10" ht="12.75">
      <c r="A147" s="11"/>
      <c r="B147" s="53"/>
      <c r="C147" s="47"/>
      <c r="D147" s="47"/>
      <c r="E147" s="67"/>
      <c r="F147" s="67"/>
      <c r="G147" s="67"/>
      <c r="H147" s="68"/>
      <c r="I147" s="69"/>
      <c r="J147" s="69"/>
    </row>
    <row r="148" spans="1:10" ht="12.75">
      <c r="A148" s="11"/>
      <c r="B148" s="53"/>
      <c r="C148" s="47"/>
      <c r="D148" s="47"/>
      <c r="E148" s="67"/>
      <c r="F148" s="67"/>
      <c r="G148" s="67"/>
      <c r="H148" s="68"/>
      <c r="I148" s="69"/>
      <c r="J148" s="69"/>
    </row>
    <row r="149" spans="1:10" ht="12.75">
      <c r="A149" s="11"/>
      <c r="B149" s="53"/>
      <c r="C149" s="47"/>
      <c r="D149" s="47"/>
      <c r="E149" s="67"/>
      <c r="F149" s="67"/>
      <c r="G149" s="67"/>
      <c r="H149" s="68"/>
      <c r="I149" s="69"/>
      <c r="J149" s="69"/>
    </row>
    <row r="150" spans="1:10" ht="12.75">
      <c r="A150" s="11"/>
      <c r="B150" s="53"/>
      <c r="C150" s="47"/>
      <c r="D150" s="47"/>
      <c r="E150" s="67"/>
      <c r="F150" s="67"/>
      <c r="G150" s="67"/>
      <c r="H150" s="68"/>
      <c r="I150" s="69"/>
      <c r="J150" s="69"/>
    </row>
    <row r="151" spans="1:10" ht="12.75">
      <c r="A151" s="11"/>
      <c r="B151" s="53"/>
      <c r="C151" s="47"/>
      <c r="D151" s="47"/>
      <c r="E151" s="67"/>
      <c r="F151" s="67"/>
      <c r="G151" s="67"/>
      <c r="H151" s="68"/>
      <c r="I151" s="69"/>
      <c r="J151" s="69"/>
    </row>
    <row r="152" spans="1:10" ht="12.75">
      <c r="A152" s="11"/>
      <c r="B152" s="53"/>
      <c r="C152" s="47"/>
      <c r="D152" s="47"/>
      <c r="E152" s="67"/>
      <c r="F152" s="67"/>
      <c r="G152" s="67"/>
      <c r="H152" s="68"/>
      <c r="I152" s="69"/>
      <c r="J152" s="69"/>
    </row>
    <row r="153" spans="1:10" ht="12.75">
      <c r="A153" s="11"/>
      <c r="B153" s="53"/>
      <c r="C153" s="47"/>
      <c r="D153" s="47"/>
      <c r="E153" s="67"/>
      <c r="F153" s="67"/>
      <c r="G153" s="67"/>
      <c r="H153" s="68"/>
      <c r="I153" s="69"/>
      <c r="J153" s="69"/>
    </row>
    <row r="154" spans="1:10" ht="12.75">
      <c r="A154" s="11"/>
      <c r="B154" s="53"/>
      <c r="C154" s="47"/>
      <c r="D154" s="47"/>
      <c r="E154" s="67"/>
      <c r="F154" s="67"/>
      <c r="G154" s="67"/>
      <c r="H154" s="68"/>
      <c r="I154" s="69"/>
      <c r="J154" s="69"/>
    </row>
    <row r="155" spans="1:10" ht="12.75">
      <c r="A155" s="11"/>
      <c r="B155" s="53"/>
      <c r="C155" s="47"/>
      <c r="D155" s="47"/>
      <c r="E155" s="67"/>
      <c r="F155" s="67"/>
      <c r="G155" s="67"/>
      <c r="H155" s="68"/>
      <c r="I155" s="69"/>
      <c r="J155" s="69"/>
    </row>
    <row r="156" spans="1:10" ht="12.75">
      <c r="A156" s="11"/>
      <c r="B156" s="53"/>
      <c r="C156" s="47"/>
      <c r="D156" s="47"/>
      <c r="E156" s="67"/>
      <c r="F156" s="67"/>
      <c r="G156" s="67"/>
      <c r="H156" s="68"/>
      <c r="I156" s="69"/>
      <c r="J156" s="69"/>
    </row>
    <row r="157" spans="1:10" ht="12.75">
      <c r="A157" s="11"/>
      <c r="B157" s="53"/>
      <c r="C157" s="47"/>
      <c r="D157" s="47"/>
      <c r="E157" s="67"/>
      <c r="F157" s="67"/>
      <c r="G157" s="67"/>
      <c r="H157" s="68"/>
      <c r="I157" s="69"/>
      <c r="J157" s="69"/>
    </row>
    <row r="158" spans="1:10" ht="12.75">
      <c r="A158" s="11"/>
      <c r="B158" s="53"/>
      <c r="C158" s="47"/>
      <c r="D158" s="47"/>
      <c r="E158" s="67"/>
      <c r="F158" s="67"/>
      <c r="G158" s="67"/>
      <c r="H158" s="68"/>
      <c r="I158" s="69"/>
      <c r="J158" s="69"/>
    </row>
    <row r="159" spans="1:10" ht="12.75">
      <c r="A159" s="11"/>
      <c r="B159" s="53"/>
      <c r="C159" s="47"/>
      <c r="D159" s="47"/>
      <c r="E159" s="67"/>
      <c r="F159" s="67"/>
      <c r="G159" s="67"/>
      <c r="H159" s="68"/>
      <c r="I159" s="69"/>
      <c r="J159" s="69"/>
    </row>
    <row r="160" spans="1:10" ht="12.75">
      <c r="A160" s="11"/>
      <c r="B160" s="53"/>
      <c r="C160" s="47"/>
      <c r="D160" s="47"/>
      <c r="E160" s="67"/>
      <c r="F160" s="67"/>
      <c r="G160" s="67"/>
      <c r="H160" s="68"/>
      <c r="I160" s="69"/>
      <c r="J160" s="69"/>
    </row>
    <row r="161" spans="1:10" ht="12.75">
      <c r="A161" s="11"/>
      <c r="B161" s="53"/>
      <c r="C161" s="47"/>
      <c r="D161" s="47"/>
      <c r="E161" s="67"/>
      <c r="F161" s="67"/>
      <c r="G161" s="67"/>
      <c r="H161" s="68"/>
      <c r="I161" s="69"/>
      <c r="J161" s="69"/>
    </row>
    <row r="162" spans="1:10" ht="12.75">
      <c r="A162" s="11"/>
      <c r="B162" s="53"/>
      <c r="C162" s="47"/>
      <c r="D162" s="47"/>
      <c r="E162" s="67"/>
      <c r="F162" s="67"/>
      <c r="G162" s="67"/>
      <c r="H162" s="68"/>
      <c r="I162" s="69"/>
      <c r="J162" s="69"/>
    </row>
    <row r="163" spans="1:10" ht="12.75">
      <c r="A163" s="11"/>
      <c r="B163" s="53"/>
      <c r="C163" s="47"/>
      <c r="D163" s="47"/>
      <c r="E163" s="67"/>
      <c r="F163" s="67"/>
      <c r="G163" s="67"/>
      <c r="H163" s="68"/>
      <c r="I163" s="69"/>
      <c r="J163" s="69"/>
    </row>
    <row r="164" spans="1:10" ht="12.75">
      <c r="A164" s="11"/>
      <c r="B164" s="53"/>
      <c r="C164" s="47"/>
      <c r="D164" s="47"/>
      <c r="E164" s="67"/>
      <c r="F164" s="67"/>
      <c r="G164" s="67"/>
      <c r="H164" s="68"/>
      <c r="I164" s="69"/>
      <c r="J164" s="69"/>
    </row>
    <row r="165" spans="1:10" ht="12.75">
      <c r="A165" s="11"/>
      <c r="B165" s="53"/>
      <c r="C165" s="47"/>
      <c r="D165" s="47"/>
      <c r="E165" s="67"/>
      <c r="F165" s="67"/>
      <c r="G165" s="67"/>
      <c r="H165" s="68"/>
      <c r="I165" s="69"/>
      <c r="J165" s="69"/>
    </row>
    <row r="166" spans="1:10" ht="12.75">
      <c r="A166" s="11"/>
      <c r="B166" s="53"/>
      <c r="C166" s="47"/>
      <c r="D166" s="47"/>
      <c r="E166" s="67"/>
      <c r="F166" s="67"/>
      <c r="G166" s="67"/>
      <c r="H166" s="68"/>
      <c r="I166" s="69"/>
      <c r="J166" s="69"/>
    </row>
    <row r="167" spans="1:10" ht="12.75">
      <c r="A167" s="11"/>
      <c r="B167" s="53"/>
      <c r="C167" s="47"/>
      <c r="D167" s="47"/>
      <c r="E167" s="67"/>
      <c r="F167" s="67"/>
      <c r="G167" s="67"/>
      <c r="H167" s="68"/>
      <c r="I167" s="69"/>
      <c r="J167" s="69"/>
    </row>
    <row r="168" spans="1:10" ht="12.75">
      <c r="A168" s="11"/>
      <c r="B168" s="53"/>
      <c r="C168" s="47"/>
      <c r="D168" s="47"/>
      <c r="E168" s="67"/>
      <c r="F168" s="67"/>
      <c r="G168" s="67"/>
      <c r="H168" s="68"/>
      <c r="I168" s="69"/>
      <c r="J168" s="69"/>
    </row>
    <row r="169" spans="1:10" ht="12.75">
      <c r="A169" s="11"/>
      <c r="B169" s="53"/>
      <c r="C169" s="47"/>
      <c r="D169" s="47"/>
      <c r="E169" s="67"/>
      <c r="F169" s="67"/>
      <c r="G169" s="67"/>
      <c r="H169" s="68"/>
      <c r="I169" s="69"/>
      <c r="J169" s="69"/>
    </row>
    <row r="170" spans="1:10" ht="12.75">
      <c r="A170" s="11"/>
      <c r="B170" s="53"/>
      <c r="C170" s="47"/>
      <c r="D170" s="47"/>
      <c r="E170" s="67"/>
      <c r="F170" s="67"/>
      <c r="G170" s="67"/>
      <c r="H170" s="68"/>
      <c r="I170" s="69"/>
      <c r="J170" s="69"/>
    </row>
    <row r="171" spans="1:10" ht="12.75">
      <c r="A171" s="11"/>
      <c r="B171" s="53"/>
      <c r="C171" s="47"/>
      <c r="D171" s="47"/>
      <c r="E171" s="67"/>
      <c r="F171" s="67"/>
      <c r="G171" s="67"/>
      <c r="H171" s="68"/>
      <c r="I171" s="69"/>
      <c r="J171" s="69"/>
    </row>
    <row r="172" spans="1:10" ht="12.75">
      <c r="A172" s="11"/>
      <c r="B172" s="53"/>
      <c r="C172" s="47"/>
      <c r="D172" s="47"/>
      <c r="E172" s="67"/>
      <c r="F172" s="67"/>
      <c r="G172" s="67"/>
      <c r="H172" s="68"/>
      <c r="I172" s="69"/>
      <c r="J172" s="69"/>
    </row>
    <row r="173" spans="1:10" ht="12.75">
      <c r="A173" s="11"/>
      <c r="B173" s="53"/>
      <c r="C173" s="47"/>
      <c r="D173" s="47"/>
      <c r="E173" s="67"/>
      <c r="F173" s="67"/>
      <c r="G173" s="67"/>
      <c r="H173" s="68"/>
      <c r="I173" s="69"/>
      <c r="J173" s="69"/>
    </row>
    <row r="174" spans="1:10" ht="12.75">
      <c r="A174" s="11"/>
      <c r="B174" s="53"/>
      <c r="C174" s="47"/>
      <c r="D174" s="47"/>
      <c r="E174" s="67"/>
      <c r="F174" s="67"/>
      <c r="G174" s="67"/>
      <c r="H174" s="68"/>
      <c r="I174" s="69"/>
      <c r="J174" s="69"/>
    </row>
    <row r="175" spans="1:10" ht="12.75">
      <c r="A175" s="11"/>
      <c r="B175" s="53"/>
      <c r="C175" s="47"/>
      <c r="D175" s="47"/>
      <c r="E175" s="67"/>
      <c r="F175" s="67"/>
      <c r="G175" s="67"/>
      <c r="H175" s="68"/>
      <c r="I175" s="69"/>
      <c r="J175" s="69"/>
    </row>
    <row r="176" spans="1:10" ht="12.75">
      <c r="A176" s="11"/>
      <c r="B176" s="53"/>
      <c r="C176" s="47"/>
      <c r="D176" s="47"/>
      <c r="E176" s="67"/>
      <c r="F176" s="67"/>
      <c r="G176" s="67"/>
      <c r="H176" s="68"/>
      <c r="I176" s="69"/>
      <c r="J176" s="69"/>
    </row>
    <row r="177" spans="1:10" ht="12.75">
      <c r="A177" s="11"/>
      <c r="B177" s="53"/>
      <c r="C177" s="47"/>
      <c r="D177" s="47"/>
      <c r="E177" s="67"/>
      <c r="F177" s="67"/>
      <c r="G177" s="67"/>
      <c r="H177" s="68"/>
      <c r="I177" s="69"/>
      <c r="J177" s="69"/>
    </row>
    <row r="178" spans="1:10" ht="12.75">
      <c r="A178" s="11"/>
      <c r="B178" s="53"/>
      <c r="C178" s="47"/>
      <c r="D178" s="47"/>
      <c r="E178" s="67"/>
      <c r="F178" s="67"/>
      <c r="G178" s="67"/>
      <c r="H178" s="68"/>
      <c r="I178" s="69"/>
      <c r="J178" s="69"/>
    </row>
    <row r="179" spans="1:10" ht="12.75">
      <c r="A179" s="11"/>
      <c r="B179" s="53"/>
      <c r="C179" s="47"/>
      <c r="D179" s="47"/>
      <c r="E179" s="67"/>
      <c r="F179" s="67"/>
      <c r="G179" s="67"/>
      <c r="H179" s="68"/>
      <c r="I179" s="69"/>
      <c r="J179" s="69"/>
    </row>
    <row r="180" spans="1:10" ht="12.75">
      <c r="A180" s="11"/>
      <c r="B180" s="53"/>
      <c r="C180" s="47"/>
      <c r="D180" s="47"/>
      <c r="E180" s="67"/>
      <c r="F180" s="67"/>
      <c r="G180" s="67"/>
      <c r="H180" s="68"/>
      <c r="I180" s="69"/>
      <c r="J180" s="69"/>
    </row>
    <row r="181" spans="1:10" ht="12.75">
      <c r="A181" s="11"/>
      <c r="B181" s="53"/>
      <c r="C181" s="47"/>
      <c r="D181" s="47"/>
      <c r="E181" s="67"/>
      <c r="F181" s="67"/>
      <c r="G181" s="67"/>
      <c r="H181" s="68"/>
      <c r="I181" s="69"/>
      <c r="J181" s="69"/>
    </row>
    <row r="182" spans="1:10" ht="12.75">
      <c r="A182" s="11"/>
      <c r="B182" s="53"/>
      <c r="C182" s="47"/>
      <c r="D182" s="47"/>
      <c r="E182" s="67"/>
      <c r="F182" s="67"/>
      <c r="G182" s="67"/>
      <c r="H182" s="68"/>
      <c r="I182" s="69"/>
      <c r="J182" s="69"/>
    </row>
    <row r="183" spans="1:10" ht="12.75">
      <c r="A183" s="11"/>
      <c r="B183" s="53"/>
      <c r="C183" s="47"/>
      <c r="D183" s="47"/>
      <c r="E183" s="67"/>
      <c r="F183" s="67"/>
      <c r="G183" s="67"/>
      <c r="H183" s="68"/>
      <c r="I183" s="69"/>
      <c r="J183" s="69"/>
    </row>
    <row r="184" spans="1:10" ht="12.75">
      <c r="A184" s="11"/>
      <c r="B184" s="53"/>
      <c r="C184" s="47"/>
      <c r="D184" s="47"/>
      <c r="E184" s="67"/>
      <c r="F184" s="67"/>
      <c r="G184" s="67"/>
      <c r="H184" s="68"/>
      <c r="I184" s="69"/>
      <c r="J184" s="69"/>
    </row>
    <row r="185" spans="1:10" ht="12.75">
      <c r="A185" s="11"/>
      <c r="B185" s="53"/>
      <c r="C185" s="47"/>
      <c r="D185" s="47"/>
      <c r="E185" s="67"/>
      <c r="F185" s="67"/>
      <c r="G185" s="67"/>
      <c r="H185" s="68"/>
      <c r="I185" s="69"/>
      <c r="J185" s="69"/>
    </row>
    <row r="186" spans="1:10" ht="12.75">
      <c r="A186" s="11"/>
      <c r="B186" s="53"/>
      <c r="C186" s="47"/>
      <c r="D186" s="47"/>
      <c r="E186" s="67"/>
      <c r="F186" s="67"/>
      <c r="G186" s="67"/>
      <c r="H186" s="68"/>
      <c r="I186" s="69"/>
      <c r="J186" s="69"/>
    </row>
    <row r="187" spans="1:10" ht="12.75">
      <c r="A187" s="11"/>
      <c r="B187" s="53"/>
      <c r="C187" s="47"/>
      <c r="D187" s="47"/>
      <c r="E187" s="67"/>
      <c r="F187" s="67"/>
      <c r="G187" s="67"/>
      <c r="H187" s="68"/>
      <c r="I187" s="69"/>
      <c r="J187" s="69"/>
    </row>
    <row r="188" spans="1:10" ht="12.75">
      <c r="A188" s="11"/>
      <c r="B188" s="53"/>
      <c r="C188" s="47"/>
      <c r="D188" s="47"/>
      <c r="E188" s="67"/>
      <c r="F188" s="67"/>
      <c r="G188" s="67"/>
      <c r="H188" s="68"/>
      <c r="I188" s="69"/>
      <c r="J188" s="69"/>
    </row>
    <row r="189" spans="1:10" ht="12.75">
      <c r="A189" s="11"/>
      <c r="B189" s="53"/>
      <c r="C189" s="47"/>
      <c r="D189" s="47"/>
      <c r="E189" s="67"/>
      <c r="F189" s="67"/>
      <c r="G189" s="67"/>
      <c r="H189" s="68"/>
      <c r="I189" s="69"/>
      <c r="J189" s="69"/>
    </row>
    <row r="190" spans="1:10" ht="12.75">
      <c r="A190" s="11"/>
      <c r="B190" s="53"/>
      <c r="C190" s="47"/>
      <c r="D190" s="47"/>
      <c r="E190" s="67"/>
      <c r="F190" s="67"/>
      <c r="G190" s="67"/>
      <c r="H190" s="68"/>
      <c r="I190" s="69"/>
      <c r="J190" s="69"/>
    </row>
    <row r="191" spans="1:10" ht="12.75">
      <c r="A191" s="11"/>
      <c r="B191" s="53"/>
      <c r="C191" s="47"/>
      <c r="D191" s="47"/>
      <c r="E191" s="67"/>
      <c r="F191" s="67"/>
      <c r="G191" s="67"/>
      <c r="H191" s="68"/>
      <c r="I191" s="69"/>
      <c r="J191" s="69"/>
    </row>
    <row r="192" spans="1:10" ht="12.75">
      <c r="A192" s="11"/>
      <c r="B192" s="53"/>
      <c r="C192" s="47"/>
      <c r="D192" s="47"/>
      <c r="E192" s="67"/>
      <c r="F192" s="67"/>
      <c r="G192" s="67"/>
      <c r="H192" s="68"/>
      <c r="I192" s="69"/>
      <c r="J192" s="69"/>
    </row>
    <row r="193" spans="1:10" ht="12.75">
      <c r="A193" s="11"/>
      <c r="B193" s="53"/>
      <c r="C193" s="47"/>
      <c r="D193" s="47"/>
      <c r="E193" s="67"/>
      <c r="F193" s="67"/>
      <c r="G193" s="67"/>
      <c r="H193" s="68"/>
      <c r="I193" s="69"/>
      <c r="J193" s="69"/>
    </row>
    <row r="194" spans="1:10" ht="12.75">
      <c r="A194" s="11"/>
      <c r="B194" s="53"/>
      <c r="C194" s="47"/>
      <c r="D194" s="47"/>
      <c r="E194" s="67"/>
      <c r="F194" s="67"/>
      <c r="G194" s="67"/>
      <c r="H194" s="68"/>
      <c r="I194" s="69"/>
      <c r="J194" s="69"/>
    </row>
    <row r="195" spans="1:10" ht="12.75">
      <c r="A195" s="11"/>
      <c r="B195" s="53"/>
      <c r="C195" s="47"/>
      <c r="D195" s="47"/>
      <c r="E195" s="67"/>
      <c r="F195" s="67"/>
      <c r="G195" s="67"/>
      <c r="H195" s="68"/>
      <c r="I195" s="69"/>
      <c r="J195" s="69"/>
    </row>
    <row r="196" spans="1:10" ht="12.75">
      <c r="A196" s="11"/>
      <c r="B196" s="53"/>
      <c r="C196" s="47"/>
      <c r="D196" s="47"/>
      <c r="E196" s="67"/>
      <c r="F196" s="67"/>
      <c r="G196" s="67"/>
      <c r="H196" s="68"/>
      <c r="I196" s="69"/>
      <c r="J196" s="69"/>
    </row>
    <row r="197" spans="1:10" ht="12.75">
      <c r="A197" s="11"/>
      <c r="B197" s="53"/>
      <c r="C197" s="47"/>
      <c r="D197" s="47"/>
      <c r="E197" s="67"/>
      <c r="F197" s="67"/>
      <c r="G197" s="67"/>
      <c r="H197" s="68"/>
      <c r="I197" s="69"/>
      <c r="J197" s="69"/>
    </row>
    <row r="198" spans="1:10" ht="12.75">
      <c r="A198" s="11"/>
      <c r="B198" s="53"/>
      <c r="C198" s="47"/>
      <c r="D198" s="47"/>
      <c r="E198" s="67"/>
      <c r="F198" s="67"/>
      <c r="G198" s="67"/>
      <c r="H198" s="68"/>
      <c r="I198" s="69"/>
      <c r="J198" s="69"/>
    </row>
    <row r="199" spans="1:10" ht="12.75">
      <c r="A199" s="11"/>
      <c r="B199" s="53"/>
      <c r="C199" s="47"/>
      <c r="D199" s="47"/>
      <c r="E199" s="67"/>
      <c r="F199" s="67"/>
      <c r="G199" s="67"/>
      <c r="H199" s="68"/>
      <c r="I199" s="69"/>
      <c r="J199" s="69"/>
    </row>
    <row r="200" spans="1:10" ht="12.75">
      <c r="A200" s="11"/>
      <c r="B200" s="53"/>
      <c r="C200" s="47"/>
      <c r="D200" s="47"/>
      <c r="E200" s="67"/>
      <c r="F200" s="67"/>
      <c r="G200" s="67"/>
      <c r="H200" s="68"/>
      <c r="I200" s="69"/>
      <c r="J200" s="69"/>
    </row>
    <row r="201" spans="1:10" ht="12.75">
      <c r="A201" s="11"/>
      <c r="B201" s="53"/>
      <c r="C201" s="47"/>
      <c r="D201" s="47"/>
      <c r="E201" s="67"/>
      <c r="F201" s="67"/>
      <c r="G201" s="67"/>
      <c r="H201" s="68"/>
      <c r="I201" s="69"/>
      <c r="J201" s="69"/>
    </row>
    <row r="202" spans="1:10" ht="12.75">
      <c r="A202" s="11"/>
      <c r="B202" s="53"/>
      <c r="C202" s="47"/>
      <c r="D202" s="47"/>
      <c r="E202" s="67"/>
      <c r="F202" s="67"/>
      <c r="G202" s="67"/>
      <c r="H202" s="68"/>
      <c r="I202" s="69"/>
      <c r="J202" s="69"/>
    </row>
    <row r="203" spans="1:10" ht="12.75">
      <c r="A203" s="11"/>
      <c r="B203" s="53"/>
      <c r="C203" s="47"/>
      <c r="D203" s="47"/>
      <c r="E203" s="67"/>
      <c r="F203" s="67"/>
      <c r="G203" s="67"/>
      <c r="H203" s="68"/>
      <c r="I203" s="69"/>
      <c r="J203" s="69"/>
    </row>
    <row r="204" spans="1:10" ht="12.75">
      <c r="A204" s="11"/>
      <c r="B204" s="53"/>
      <c r="C204" s="47"/>
      <c r="D204" s="47"/>
      <c r="E204" s="67"/>
      <c r="F204" s="67"/>
      <c r="G204" s="67"/>
      <c r="H204" s="68"/>
      <c r="I204" s="69"/>
      <c r="J204" s="69"/>
    </row>
    <row r="205" spans="1:10" ht="12.75">
      <c r="A205" s="11"/>
      <c r="B205" s="53"/>
      <c r="C205" s="47"/>
      <c r="D205" s="47"/>
      <c r="E205" s="67"/>
      <c r="F205" s="67"/>
      <c r="G205" s="67"/>
      <c r="H205" s="68"/>
      <c r="I205" s="69"/>
      <c r="J205" s="69"/>
    </row>
    <row r="206" spans="1:10" ht="12.75">
      <c r="A206" s="11"/>
      <c r="B206" s="53"/>
      <c r="C206" s="47"/>
      <c r="D206" s="47"/>
      <c r="E206" s="67"/>
      <c r="F206" s="67"/>
      <c r="G206" s="67"/>
      <c r="H206" s="68"/>
      <c r="I206" s="69"/>
      <c r="J206" s="69"/>
    </row>
    <row r="207" spans="1:10" ht="12.75">
      <c r="A207" s="11"/>
      <c r="B207" s="53"/>
      <c r="C207" s="47"/>
      <c r="D207" s="47"/>
      <c r="E207" s="67"/>
      <c r="F207" s="67"/>
      <c r="G207" s="67"/>
      <c r="H207" s="68"/>
      <c r="I207" s="69"/>
      <c r="J207" s="69"/>
    </row>
    <row r="208" spans="1:10" ht="12.75">
      <c r="A208" s="11"/>
      <c r="B208" s="53"/>
      <c r="C208" s="47"/>
      <c r="D208" s="47"/>
      <c r="E208" s="67"/>
      <c r="F208" s="67"/>
      <c r="G208" s="67"/>
      <c r="H208" s="68"/>
      <c r="I208" s="69"/>
      <c r="J208" s="69"/>
    </row>
    <row r="209" spans="1:10" ht="12.75">
      <c r="A209" s="11"/>
      <c r="B209" s="53"/>
      <c r="C209" s="47"/>
      <c r="D209" s="47"/>
      <c r="E209" s="67"/>
      <c r="F209" s="67"/>
      <c r="G209" s="67"/>
      <c r="H209" s="68"/>
      <c r="I209" s="69"/>
      <c r="J209" s="69"/>
    </row>
    <row r="210" spans="1:10" ht="12.75">
      <c r="A210" s="11"/>
      <c r="B210" s="53"/>
      <c r="C210" s="47"/>
      <c r="D210" s="47"/>
      <c r="E210" s="67"/>
      <c r="F210" s="67"/>
      <c r="G210" s="67"/>
      <c r="H210" s="68"/>
      <c r="I210" s="69"/>
      <c r="J210" s="69"/>
    </row>
    <row r="211" spans="1:10" ht="12.75">
      <c r="A211" s="11"/>
      <c r="B211" s="53"/>
      <c r="C211" s="47"/>
      <c r="D211" s="47"/>
      <c r="E211" s="67"/>
      <c r="F211" s="67"/>
      <c r="G211" s="67"/>
      <c r="H211" s="68"/>
      <c r="I211" s="69"/>
      <c r="J211" s="69"/>
    </row>
    <row r="212" spans="1:10" ht="12.75">
      <c r="A212" s="11"/>
      <c r="B212" s="53"/>
      <c r="C212" s="47"/>
      <c r="D212" s="47"/>
      <c r="E212" s="67"/>
      <c r="F212" s="67"/>
      <c r="G212" s="67"/>
      <c r="H212" s="68"/>
      <c r="I212" s="69"/>
      <c r="J212" s="69"/>
    </row>
    <row r="213" spans="1:10" ht="12.75">
      <c r="A213" s="11"/>
      <c r="B213" s="53"/>
      <c r="C213" s="47"/>
      <c r="D213" s="47"/>
      <c r="E213" s="67"/>
      <c r="F213" s="67"/>
      <c r="G213" s="67"/>
      <c r="H213" s="68"/>
      <c r="I213" s="69"/>
      <c r="J213" s="69"/>
    </row>
    <row r="214" spans="1:10" ht="12.75">
      <c r="A214" s="11"/>
      <c r="B214" s="53"/>
      <c r="C214" s="47"/>
      <c r="D214" s="47"/>
      <c r="E214" s="67"/>
      <c r="F214" s="67"/>
      <c r="G214" s="67"/>
      <c r="H214" s="68"/>
      <c r="I214" s="69"/>
      <c r="J214" s="69"/>
    </row>
    <row r="215" spans="1:10" ht="12.75">
      <c r="A215" s="11"/>
      <c r="B215" s="53"/>
      <c r="C215" s="47"/>
      <c r="D215" s="47"/>
      <c r="E215" s="67"/>
      <c r="F215" s="67"/>
      <c r="G215" s="67"/>
      <c r="H215" s="68"/>
      <c r="I215" s="69"/>
      <c r="J215" s="69"/>
    </row>
    <row r="216" spans="1:10" ht="12.75">
      <c r="A216" s="11"/>
      <c r="B216" s="53"/>
      <c r="C216" s="47"/>
      <c r="D216" s="47"/>
      <c r="E216" s="67"/>
      <c r="F216" s="67"/>
      <c r="G216" s="67"/>
      <c r="H216" s="68"/>
      <c r="I216" s="69"/>
      <c r="J216" s="69"/>
    </row>
    <row r="217" spans="1:10" ht="12.75">
      <c r="A217" s="11"/>
      <c r="B217" s="53"/>
      <c r="C217" s="47"/>
      <c r="D217" s="47"/>
      <c r="E217" s="67"/>
      <c r="F217" s="67"/>
      <c r="G217" s="67"/>
      <c r="H217" s="68"/>
      <c r="I217" s="69"/>
      <c r="J217" s="69"/>
    </row>
    <row r="218" spans="1:10" ht="12.75">
      <c r="A218" s="11"/>
      <c r="B218" s="53"/>
      <c r="C218" s="47"/>
      <c r="D218" s="47"/>
      <c r="E218" s="67"/>
      <c r="F218" s="67"/>
      <c r="G218" s="67"/>
      <c r="H218" s="68"/>
      <c r="I218" s="69"/>
      <c r="J218" s="69"/>
    </row>
    <row r="219" spans="1:10" ht="12.75">
      <c r="A219" s="11"/>
      <c r="B219" s="53"/>
      <c r="C219" s="47"/>
      <c r="D219" s="47"/>
      <c r="E219" s="67"/>
      <c r="F219" s="67"/>
      <c r="G219" s="67"/>
      <c r="H219" s="68"/>
      <c r="I219" s="69"/>
      <c r="J219" s="69"/>
    </row>
    <row r="220" spans="1:10" ht="12.75">
      <c r="A220" s="11"/>
      <c r="B220" s="53"/>
      <c r="C220" s="47"/>
      <c r="D220" s="47"/>
      <c r="E220" s="67"/>
      <c r="F220" s="67"/>
      <c r="G220" s="67"/>
      <c r="H220" s="68"/>
      <c r="I220" s="69"/>
      <c r="J220" s="69"/>
    </row>
  </sheetData>
  <sheetProtection selectLockedCells="1" selectUnlockedCells="1"/>
  <mergeCells count="14">
    <mergeCell ref="D9:F9"/>
    <mergeCell ref="G9:K9"/>
    <mergeCell ref="L9:L10"/>
    <mergeCell ref="M9:M10"/>
    <mergeCell ref="N9:N10"/>
    <mergeCell ref="O9:O10"/>
    <mergeCell ref="P9:P10"/>
    <mergeCell ref="Q9:Q10"/>
    <mergeCell ref="P5:Q5"/>
    <mergeCell ref="O6:Q6"/>
    <mergeCell ref="A7:Q7"/>
    <mergeCell ref="A9:A10"/>
    <mergeCell ref="B9:B10"/>
    <mergeCell ref="C9:C10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7" r:id="rId1"/>
  <headerFooter differentOddEven="1" alignWithMargins="0">
    <oddFooter>&amp;L62</oddFooter>
    <evenFooter>&amp;L63</evenFooter>
  </headerFooter>
  <colBreaks count="2" manualBreakCount="2">
    <brk id="17" max="65535" man="1"/>
    <brk id="30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Kovalchuk_IV</cp:lastModifiedBy>
  <cp:lastPrinted>2016-04-15T05:25:47Z</cp:lastPrinted>
  <dcterms:created xsi:type="dcterms:W3CDTF">2014-04-18T03:50:29Z</dcterms:created>
  <dcterms:modified xsi:type="dcterms:W3CDTF">2016-04-15T05:26:14Z</dcterms:modified>
  <cp:category/>
  <cp:version/>
  <cp:contentType/>
  <cp:contentStatus/>
</cp:coreProperties>
</file>